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57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ranko\Documents\Book B-J\Chapter sheets\"/>
    </mc:Choice>
  </mc:AlternateContent>
  <bookViews>
    <workbookView xWindow="0" yWindow="0" windowWidth="23040" windowHeight="8796"/>
  </bookViews>
  <sheets>
    <sheet name="ACF_PACF" sheetId="2" r:id="rId1"/>
    <sheet name="SARIMA" sheetId="1" r:id="rId2"/>
    <sheet name="RESID" sheetId="3" r:id="rId3"/>
  </sheets>
  <definedNames>
    <definedName name="solver_adj" localSheetId="1" hidden="1">SARIMA!$I$3:$I$6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100</definedName>
    <definedName name="solver_lhs1" localSheetId="1" hidden="1">SARIMA!$M$3</definedName>
    <definedName name="solver_lin" localSheetId="1" hidden="1">2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2</definedName>
    <definedName name="solver_nod" localSheetId="1" hidden="1">2147483647</definedName>
    <definedName name="solver_num" localSheetId="1" hidden="1">1</definedName>
    <definedName name="solver_nwt" localSheetId="1" hidden="1">1</definedName>
    <definedName name="solver_opt" localSheetId="1" hidden="1">SARIMA!$K$3</definedName>
    <definedName name="solver_pre" localSheetId="1" hidden="1">0.000001</definedName>
    <definedName name="solver_rbv" localSheetId="1" hidden="1">1</definedName>
    <definedName name="solver_rel1" localSheetId="1" hidden="1">3</definedName>
    <definedName name="solver_rhs1" localSheetId="1" hidden="1">0.99999</definedName>
    <definedName name="solver_rlx" localSheetId="1" hidden="1">1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100</definedName>
    <definedName name="solver_tol" localSheetId="1" hidden="1">0.05</definedName>
    <definedName name="solver_typ" localSheetId="1" hidden="1">1</definedName>
    <definedName name="solver_val" localSheetId="1" hidden="1">0</definedName>
    <definedName name="solver_ver" localSheetId="1" hidden="1">3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J21" i="3" l="1"/>
  <c r="B68" i="3" l="1"/>
  <c r="B3" i="3"/>
  <c r="B4" i="3"/>
  <c r="B5" i="3"/>
  <c r="B6" i="3"/>
  <c r="B7" i="3"/>
  <c r="B8" i="3"/>
  <c r="B9" i="3"/>
  <c r="B10" i="3"/>
  <c r="C10" i="3" s="1"/>
  <c r="B11" i="3"/>
  <c r="B12" i="3"/>
  <c r="B13" i="3"/>
  <c r="B14" i="3"/>
  <c r="B15" i="3"/>
  <c r="B16" i="3"/>
  <c r="B17" i="3"/>
  <c r="B18" i="3"/>
  <c r="C18" i="3" s="1"/>
  <c r="B19" i="3"/>
  <c r="B20" i="3"/>
  <c r="B21" i="3"/>
  <c r="B22" i="3"/>
  <c r="B23" i="3"/>
  <c r="B24" i="3"/>
  <c r="B25" i="3"/>
  <c r="B26" i="3"/>
  <c r="C26" i="3" s="1"/>
  <c r="B27" i="3"/>
  <c r="B28" i="3"/>
  <c r="B29" i="3"/>
  <c r="B30" i="3"/>
  <c r="B31" i="3"/>
  <c r="B32" i="3"/>
  <c r="B33" i="3"/>
  <c r="B34" i="3"/>
  <c r="C34" i="3" s="1"/>
  <c r="B35" i="3"/>
  <c r="B36" i="3"/>
  <c r="B37" i="3"/>
  <c r="B38" i="3"/>
  <c r="B39" i="3"/>
  <c r="B40" i="3"/>
  <c r="B41" i="3"/>
  <c r="B42" i="3"/>
  <c r="C42" i="3" s="1"/>
  <c r="B43" i="3"/>
  <c r="B44" i="3"/>
  <c r="B45" i="3"/>
  <c r="B46" i="3"/>
  <c r="B47" i="3"/>
  <c r="B48" i="3"/>
  <c r="B49" i="3"/>
  <c r="B50" i="3"/>
  <c r="C50" i="3" s="1"/>
  <c r="B51" i="3"/>
  <c r="B52" i="3"/>
  <c r="B53" i="3"/>
  <c r="B54" i="3"/>
  <c r="B55" i="3"/>
  <c r="B56" i="3"/>
  <c r="B57" i="3"/>
  <c r="B58" i="3"/>
  <c r="C58" i="3" s="1"/>
  <c r="B59" i="3"/>
  <c r="B60" i="3"/>
  <c r="B61" i="3"/>
  <c r="B62" i="3"/>
  <c r="B63" i="3"/>
  <c r="B64" i="3"/>
  <c r="B65" i="3"/>
  <c r="B66" i="3"/>
  <c r="C66" i="3" s="1"/>
  <c r="B67" i="3"/>
  <c r="B2" i="3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2" i="1"/>
  <c r="S2" i="2"/>
  <c r="T2" i="2"/>
  <c r="S3" i="2"/>
  <c r="T3" i="2"/>
  <c r="S4" i="2"/>
  <c r="T4" i="2"/>
  <c r="S5" i="2"/>
  <c r="T5" i="2"/>
  <c r="S6" i="2"/>
  <c r="T6" i="2"/>
  <c r="S7" i="2"/>
  <c r="T7" i="2"/>
  <c r="S8" i="2"/>
  <c r="T8" i="2"/>
  <c r="S9" i="2"/>
  <c r="T9" i="2"/>
  <c r="S10" i="2"/>
  <c r="T10" i="2"/>
  <c r="S11" i="2"/>
  <c r="T11" i="2"/>
  <c r="S12" i="2"/>
  <c r="T12" i="2"/>
  <c r="S13" i="2"/>
  <c r="T13" i="2"/>
  <c r="S14" i="2"/>
  <c r="T14" i="2"/>
  <c r="S15" i="2"/>
  <c r="T15" i="2"/>
  <c r="S16" i="2"/>
  <c r="T16" i="2"/>
  <c r="S17" i="2"/>
  <c r="T17" i="2"/>
  <c r="S18" i="2"/>
  <c r="T18" i="2"/>
  <c r="S19" i="2"/>
  <c r="T19" i="2"/>
  <c r="S20" i="2"/>
  <c r="T20" i="2"/>
  <c r="S21" i="2"/>
  <c r="T21" i="2"/>
  <c r="R3" i="2"/>
  <c r="R4" i="2"/>
  <c r="R5" i="2"/>
  <c r="R6" i="2"/>
  <c r="R7" i="2"/>
  <c r="R8" i="2"/>
  <c r="R9" i="2"/>
  <c r="R10" i="2"/>
  <c r="R11" i="2"/>
  <c r="R12" i="2"/>
  <c r="R13" i="2"/>
  <c r="R14" i="2"/>
  <c r="R15" i="2"/>
  <c r="R16" i="2"/>
  <c r="R17" i="2"/>
  <c r="R18" i="2"/>
  <c r="R19" i="2"/>
  <c r="R20" i="2"/>
  <c r="R21" i="2"/>
  <c r="R2" i="2"/>
  <c r="J73" i="2"/>
  <c r="J74" i="2"/>
  <c r="J75" i="2"/>
  <c r="J76" i="2"/>
  <c r="J77" i="2"/>
  <c r="J78" i="2"/>
  <c r="J79" i="2"/>
  <c r="J80" i="2"/>
  <c r="J81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AD8" i="2" s="1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2" i="2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J3" i="2"/>
  <c r="J2" i="2"/>
  <c r="E9" i="2" l="1"/>
  <c r="E16" i="2"/>
  <c r="E7" i="2"/>
  <c r="E2" i="2"/>
  <c r="E14" i="2"/>
  <c r="E6" i="2"/>
  <c r="E8" i="2"/>
  <c r="E21" i="2"/>
  <c r="E13" i="2"/>
  <c r="E5" i="2"/>
  <c r="E15" i="2"/>
  <c r="E20" i="2"/>
  <c r="E12" i="2"/>
  <c r="E4" i="2"/>
  <c r="E19" i="2"/>
  <c r="E11" i="2"/>
  <c r="E3" i="2"/>
  <c r="E18" i="2"/>
  <c r="E10" i="2"/>
  <c r="E17" i="2"/>
  <c r="C2" i="3"/>
  <c r="C3" i="3"/>
  <c r="C11" i="3"/>
  <c r="C19" i="3"/>
  <c r="C27" i="3"/>
  <c r="C35" i="3"/>
  <c r="C43" i="3"/>
  <c r="C51" i="3"/>
  <c r="C59" i="3"/>
  <c r="C67" i="3"/>
  <c r="C4" i="3"/>
  <c r="C12" i="3"/>
  <c r="C20" i="3"/>
  <c r="C28" i="3"/>
  <c r="C36" i="3"/>
  <c r="C44" i="3"/>
  <c r="C52" i="3"/>
  <c r="C60" i="3"/>
  <c r="C68" i="3"/>
  <c r="C5" i="3"/>
  <c r="C13" i="3"/>
  <c r="C21" i="3"/>
  <c r="C29" i="3"/>
  <c r="C37" i="3"/>
  <c r="C45" i="3"/>
  <c r="C53" i="3"/>
  <c r="C61" i="3"/>
  <c r="C6" i="3"/>
  <c r="C14" i="3"/>
  <c r="C22" i="3"/>
  <c r="C30" i="3"/>
  <c r="C38" i="3"/>
  <c r="C46" i="3"/>
  <c r="C54" i="3"/>
  <c r="C62" i="3"/>
  <c r="C7" i="3"/>
  <c r="C15" i="3"/>
  <c r="C23" i="3"/>
  <c r="C31" i="3"/>
  <c r="C39" i="3"/>
  <c r="C47" i="3"/>
  <c r="C55" i="3"/>
  <c r="C63" i="3"/>
  <c r="C8" i="3"/>
  <c r="C16" i="3"/>
  <c r="C24" i="3"/>
  <c r="C32" i="3"/>
  <c r="C40" i="3"/>
  <c r="C48" i="3"/>
  <c r="C56" i="3"/>
  <c r="C64" i="3"/>
  <c r="C9" i="3"/>
  <c r="C17" i="3"/>
  <c r="C25" i="3"/>
  <c r="C33" i="3"/>
  <c r="C41" i="3"/>
  <c r="C49" i="3"/>
  <c r="C57" i="3"/>
  <c r="C65" i="3"/>
  <c r="K26" i="2"/>
  <c r="K17" i="2"/>
  <c r="K25" i="2"/>
  <c r="K33" i="2"/>
  <c r="K41" i="2"/>
  <c r="K49" i="2"/>
  <c r="K3" i="2"/>
  <c r="K19" i="2"/>
  <c r="K27" i="2"/>
  <c r="K35" i="2"/>
  <c r="K43" i="2"/>
  <c r="K51" i="2"/>
  <c r="K59" i="2"/>
  <c r="K67" i="2"/>
  <c r="K79" i="2"/>
  <c r="K11" i="2"/>
  <c r="K4" i="2"/>
  <c r="K12" i="2"/>
  <c r="K20" i="2"/>
  <c r="K28" i="2"/>
  <c r="K36" i="2"/>
  <c r="K44" i="2"/>
  <c r="K52" i="2"/>
  <c r="K60" i="2"/>
  <c r="K68" i="2"/>
  <c r="K78" i="2"/>
  <c r="K21" i="2"/>
  <c r="K61" i="2"/>
  <c r="K77" i="2"/>
  <c r="K5" i="2"/>
  <c r="K37" i="2"/>
  <c r="K69" i="2"/>
  <c r="K14" i="2"/>
  <c r="K30" i="2"/>
  <c r="K38" i="2"/>
  <c r="K46" i="2"/>
  <c r="K54" i="2"/>
  <c r="K62" i="2"/>
  <c r="K70" i="2"/>
  <c r="K76" i="2"/>
  <c r="K29" i="2"/>
  <c r="K53" i="2"/>
  <c r="K6" i="2"/>
  <c r="K7" i="2"/>
  <c r="K15" i="2"/>
  <c r="K23" i="2"/>
  <c r="K31" i="2"/>
  <c r="K39" i="2"/>
  <c r="K47" i="2"/>
  <c r="K55" i="2"/>
  <c r="K63" i="2"/>
  <c r="K71" i="2"/>
  <c r="K75" i="2"/>
  <c r="K13" i="2"/>
  <c r="K45" i="2"/>
  <c r="K22" i="2"/>
  <c r="K8" i="2"/>
  <c r="K16" i="2"/>
  <c r="K24" i="2"/>
  <c r="K32" i="2"/>
  <c r="K40" i="2"/>
  <c r="K48" i="2"/>
  <c r="K56" i="2"/>
  <c r="K64" i="2"/>
  <c r="K72" i="2"/>
  <c r="K57" i="2"/>
  <c r="K65" i="2"/>
  <c r="K81" i="2"/>
  <c r="K73" i="2"/>
  <c r="K80" i="2"/>
  <c r="K42" i="2"/>
  <c r="K9" i="2"/>
  <c r="K66" i="2"/>
  <c r="K50" i="2"/>
  <c r="K10" i="2"/>
  <c r="K74" i="2"/>
  <c r="K18" i="2"/>
  <c r="K58" i="2"/>
  <c r="K34" i="2"/>
  <c r="K2" i="2"/>
  <c r="AD3" i="2"/>
  <c r="AD4" i="2"/>
  <c r="AD10" i="2"/>
  <c r="AD5" i="2"/>
  <c r="AD12" i="2"/>
  <c r="AD6" i="2"/>
  <c r="AD18" i="2"/>
  <c r="AD16" i="2"/>
  <c r="AD19" i="2"/>
  <c r="AD21" i="2"/>
  <c r="AD20" i="2"/>
  <c r="AD15" i="2"/>
  <c r="AD17" i="2"/>
  <c r="AD14" i="2"/>
  <c r="AD9" i="2"/>
  <c r="AD7" i="2"/>
  <c r="AD13" i="2"/>
  <c r="AD2" i="2"/>
  <c r="AF2" i="2" s="1"/>
  <c r="AD11" i="2"/>
  <c r="C2" i="1" a="1"/>
  <c r="C3" i="1" s="1"/>
  <c r="F105" i="1"/>
  <c r="E105" i="1"/>
  <c r="F104" i="1"/>
  <c r="E104" i="1"/>
  <c r="F103" i="1"/>
  <c r="E103" i="1"/>
  <c r="F102" i="1"/>
  <c r="E102" i="1"/>
  <c r="F101" i="1"/>
  <c r="E101" i="1"/>
  <c r="F100" i="1"/>
  <c r="E100" i="1"/>
  <c r="F99" i="1"/>
  <c r="E99" i="1"/>
  <c r="F98" i="1"/>
  <c r="E98" i="1"/>
  <c r="F97" i="1"/>
  <c r="E97" i="1"/>
  <c r="F96" i="1"/>
  <c r="E96" i="1"/>
  <c r="F95" i="1"/>
  <c r="E95" i="1"/>
  <c r="F94" i="1"/>
  <c r="E94" i="1"/>
  <c r="F93" i="1"/>
  <c r="E93" i="1"/>
  <c r="F92" i="1"/>
  <c r="E92" i="1"/>
  <c r="F91" i="1"/>
  <c r="E91" i="1"/>
  <c r="F90" i="1"/>
  <c r="E90" i="1"/>
  <c r="F89" i="1"/>
  <c r="E89" i="1"/>
  <c r="F88" i="1"/>
  <c r="E88" i="1"/>
  <c r="F87" i="1"/>
  <c r="E87" i="1"/>
  <c r="F86" i="1"/>
  <c r="E86" i="1"/>
  <c r="F85" i="1"/>
  <c r="E85" i="1"/>
  <c r="F84" i="1"/>
  <c r="E84" i="1"/>
  <c r="F83" i="1"/>
  <c r="E83" i="1"/>
  <c r="F82" i="1"/>
  <c r="E82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S5" i="1"/>
  <c r="R5" i="1"/>
  <c r="Q5" i="1"/>
  <c r="P5" i="1"/>
  <c r="V3" i="1"/>
  <c r="U3" i="1"/>
  <c r="T3" i="1"/>
  <c r="S3" i="1"/>
  <c r="R3" i="1"/>
  <c r="Q3" i="1"/>
  <c r="P3" i="1"/>
  <c r="M3" i="1"/>
  <c r="L3" i="1"/>
  <c r="K3" i="1"/>
  <c r="G1" i="1"/>
  <c r="D3" i="3" l="1"/>
  <c r="O3" i="3" s="1"/>
  <c r="D12" i="3"/>
  <c r="O12" i="3" s="1"/>
  <c r="D8" i="3"/>
  <c r="O8" i="3" s="1"/>
  <c r="D21" i="3"/>
  <c r="O21" i="3" s="1"/>
  <c r="D17" i="3"/>
  <c r="O17" i="3" s="1"/>
  <c r="J8" i="3"/>
  <c r="K8" i="3" s="1"/>
  <c r="J14" i="3"/>
  <c r="J17" i="3"/>
  <c r="L17" i="3" s="1"/>
  <c r="D13" i="3"/>
  <c r="O13" i="3" s="1"/>
  <c r="J7" i="3"/>
  <c r="L7" i="3" s="1"/>
  <c r="D7" i="3"/>
  <c r="O7" i="3" s="1"/>
  <c r="D19" i="3"/>
  <c r="O19" i="3" s="1"/>
  <c r="J19" i="3"/>
  <c r="J2" i="3"/>
  <c r="L2" i="3" s="1"/>
  <c r="J5" i="3"/>
  <c r="L5" i="3" s="1"/>
  <c r="D6" i="3"/>
  <c r="O6" i="3" s="1"/>
  <c r="J13" i="3"/>
  <c r="J15" i="3"/>
  <c r="D14" i="3"/>
  <c r="O14" i="3" s="1"/>
  <c r="J10" i="3"/>
  <c r="L10" i="3" s="1"/>
  <c r="J4" i="3"/>
  <c r="J11" i="3"/>
  <c r="K11" i="3" s="1"/>
  <c r="D16" i="3"/>
  <c r="O16" i="3" s="1"/>
  <c r="J16" i="3"/>
  <c r="L16" i="3" s="1"/>
  <c r="D11" i="3"/>
  <c r="O11" i="3" s="1"/>
  <c r="D2" i="3"/>
  <c r="E3" i="3" s="1"/>
  <c r="F3" i="3" s="1"/>
  <c r="D5" i="3"/>
  <c r="O5" i="3" s="1"/>
  <c r="D18" i="3"/>
  <c r="O18" i="3" s="1"/>
  <c r="D10" i="3"/>
  <c r="O10" i="3" s="1"/>
  <c r="J9" i="3"/>
  <c r="K9" i="3" s="1"/>
  <c r="D15" i="3"/>
  <c r="O15" i="3" s="1"/>
  <c r="D4" i="3"/>
  <c r="O4" i="3" s="1"/>
  <c r="J20" i="3"/>
  <c r="L20" i="3" s="1"/>
  <c r="J12" i="3"/>
  <c r="L12" i="3" s="1"/>
  <c r="J6" i="3"/>
  <c r="K6" i="3" s="1"/>
  <c r="J18" i="3"/>
  <c r="D20" i="3"/>
  <c r="O20" i="3" s="1"/>
  <c r="J21" i="3"/>
  <c r="L21" i="3" s="1"/>
  <c r="D9" i="3"/>
  <c r="O9" i="3" s="1"/>
  <c r="J3" i="3"/>
  <c r="K3" i="3" s="1"/>
  <c r="L8" i="3"/>
  <c r="L13" i="3"/>
  <c r="K13" i="3"/>
  <c r="K19" i="3"/>
  <c r="L19" i="3"/>
  <c r="K5" i="3"/>
  <c r="K17" i="3"/>
  <c r="O2" i="3"/>
  <c r="Q2" i="3" s="1"/>
  <c r="K21" i="3"/>
  <c r="K7" i="3"/>
  <c r="L3" i="3"/>
  <c r="L18" i="3"/>
  <c r="K18" i="3"/>
  <c r="L9" i="3"/>
  <c r="E2" i="3"/>
  <c r="G3" i="3"/>
  <c r="L4" i="3"/>
  <c r="K4" i="3"/>
  <c r="L15" i="3"/>
  <c r="K15" i="3"/>
  <c r="L14" i="3"/>
  <c r="K14" i="3"/>
  <c r="W3" i="2"/>
  <c r="W11" i="2"/>
  <c r="W19" i="2"/>
  <c r="W4" i="2"/>
  <c r="W12" i="2"/>
  <c r="W20" i="2"/>
  <c r="W5" i="2"/>
  <c r="W13" i="2"/>
  <c r="W21" i="2"/>
  <c r="W10" i="2"/>
  <c r="W6" i="2"/>
  <c r="W14" i="2"/>
  <c r="W18" i="2"/>
  <c r="W7" i="2"/>
  <c r="W15" i="2"/>
  <c r="W8" i="2"/>
  <c r="W16" i="2"/>
  <c r="W9" i="2"/>
  <c r="W17" i="2"/>
  <c r="W2" i="2"/>
  <c r="L9" i="2"/>
  <c r="AD33" i="2" s="1"/>
  <c r="L10" i="2"/>
  <c r="AD34" i="2" s="1"/>
  <c r="L18" i="2"/>
  <c r="AD42" i="2" s="1"/>
  <c r="L8" i="2"/>
  <c r="AD32" i="2" s="1"/>
  <c r="L12" i="2"/>
  <c r="AD36" i="2" s="1"/>
  <c r="L4" i="2"/>
  <c r="AD28" i="2" s="1"/>
  <c r="L17" i="2"/>
  <c r="AD41" i="2" s="1"/>
  <c r="L14" i="2"/>
  <c r="AD38" i="2" s="1"/>
  <c r="L21" i="2"/>
  <c r="AD45" i="2" s="1"/>
  <c r="L6" i="2"/>
  <c r="AD30" i="2" s="1"/>
  <c r="L5" i="2"/>
  <c r="AD29" i="2" s="1"/>
  <c r="L20" i="2"/>
  <c r="AD44" i="2" s="1"/>
  <c r="L19" i="2"/>
  <c r="AD43" i="2" s="1"/>
  <c r="L15" i="2"/>
  <c r="AD39" i="2" s="1"/>
  <c r="L11" i="2"/>
  <c r="AD35" i="2" s="1"/>
  <c r="L16" i="2"/>
  <c r="AD40" i="2" s="1"/>
  <c r="L7" i="2"/>
  <c r="AD31" i="2" s="1"/>
  <c r="L13" i="2"/>
  <c r="AD37" i="2" s="1"/>
  <c r="L3" i="2"/>
  <c r="AD27" i="2" s="1"/>
  <c r="L2" i="2"/>
  <c r="M2" i="2" s="1"/>
  <c r="AG3" i="2"/>
  <c r="AF3" i="2" s="1"/>
  <c r="AH4" i="2" s="1"/>
  <c r="AE2" i="2"/>
  <c r="Q2" i="2" s="1"/>
  <c r="C74" i="1"/>
  <c r="C50" i="1"/>
  <c r="C26" i="1"/>
  <c r="C10" i="1"/>
  <c r="C81" i="1"/>
  <c r="C73" i="1"/>
  <c r="C65" i="1"/>
  <c r="C57" i="1"/>
  <c r="C49" i="1"/>
  <c r="C41" i="1"/>
  <c r="C33" i="1"/>
  <c r="C25" i="1"/>
  <c r="C17" i="1"/>
  <c r="C9" i="1"/>
  <c r="C80" i="1"/>
  <c r="C72" i="1"/>
  <c r="C56" i="1"/>
  <c r="C48" i="1"/>
  <c r="C40" i="1"/>
  <c r="C32" i="1"/>
  <c r="C24" i="1"/>
  <c r="C16" i="1"/>
  <c r="C8" i="1"/>
  <c r="C64" i="1"/>
  <c r="C79" i="1"/>
  <c r="C71" i="1"/>
  <c r="C63" i="1"/>
  <c r="C55" i="1"/>
  <c r="C47" i="1"/>
  <c r="C39" i="1"/>
  <c r="C31" i="1"/>
  <c r="C23" i="1"/>
  <c r="C15" i="1"/>
  <c r="C7" i="1"/>
  <c r="C58" i="1"/>
  <c r="C34" i="1"/>
  <c r="C2" i="1"/>
  <c r="C78" i="1"/>
  <c r="C62" i="1"/>
  <c r="C46" i="1"/>
  <c r="C30" i="1"/>
  <c r="C14" i="1"/>
  <c r="C37" i="1"/>
  <c r="C68" i="1"/>
  <c r="C60" i="1"/>
  <c r="C44" i="1"/>
  <c r="C36" i="1"/>
  <c r="C28" i="1"/>
  <c r="C20" i="1"/>
  <c r="C12" i="1"/>
  <c r="C4" i="1"/>
  <c r="C66" i="1"/>
  <c r="C42" i="1"/>
  <c r="C18" i="1"/>
  <c r="C70" i="1"/>
  <c r="C54" i="1"/>
  <c r="C38" i="1"/>
  <c r="C22" i="1"/>
  <c r="C6" i="1"/>
  <c r="C77" i="1"/>
  <c r="C69" i="1"/>
  <c r="C61" i="1"/>
  <c r="C53" i="1"/>
  <c r="C45" i="1"/>
  <c r="C29" i="1"/>
  <c r="C21" i="1"/>
  <c r="C13" i="1"/>
  <c r="C5" i="1"/>
  <c r="C76" i="1"/>
  <c r="C52" i="1"/>
  <c r="C75" i="1"/>
  <c r="C67" i="1"/>
  <c r="C59" i="1"/>
  <c r="C51" i="1"/>
  <c r="C43" i="1"/>
  <c r="C35" i="1"/>
  <c r="C27" i="1"/>
  <c r="C19" i="1"/>
  <c r="C11" i="1"/>
  <c r="K16" i="3" l="1"/>
  <c r="K20" i="3"/>
  <c r="E16" i="3"/>
  <c r="G16" i="3" s="1"/>
  <c r="K10" i="3"/>
  <c r="E12" i="3"/>
  <c r="F12" i="3" s="1"/>
  <c r="L6" i="3"/>
  <c r="E10" i="3"/>
  <c r="F10" i="3" s="1"/>
  <c r="E13" i="3"/>
  <c r="G13" i="3" s="1"/>
  <c r="E8" i="3"/>
  <c r="E6" i="3"/>
  <c r="G6" i="3" s="1"/>
  <c r="E11" i="3"/>
  <c r="G11" i="3" s="1"/>
  <c r="E9" i="3"/>
  <c r="F9" i="3" s="1"/>
  <c r="K12" i="3"/>
  <c r="E19" i="3"/>
  <c r="F19" i="3" s="1"/>
  <c r="E20" i="3"/>
  <c r="F20" i="3" s="1"/>
  <c r="E18" i="3"/>
  <c r="F18" i="3" s="1"/>
  <c r="K2" i="3"/>
  <c r="E21" i="3"/>
  <c r="G21" i="3" s="1"/>
  <c r="L11" i="3"/>
  <c r="E4" i="3"/>
  <c r="G4" i="3" s="1"/>
  <c r="E17" i="3"/>
  <c r="G17" i="3" s="1"/>
  <c r="E14" i="3"/>
  <c r="G14" i="3" s="1"/>
  <c r="E15" i="3"/>
  <c r="G15" i="3" s="1"/>
  <c r="E5" i="3"/>
  <c r="G5" i="3" s="1"/>
  <c r="E7" i="3"/>
  <c r="G7" i="3" s="1"/>
  <c r="G2" i="3"/>
  <c r="F2" i="3"/>
  <c r="P2" i="3"/>
  <c r="I2" i="3" s="1"/>
  <c r="R3" i="3"/>
  <c r="Q3" i="3" s="1"/>
  <c r="G9" i="3"/>
  <c r="F4" i="3"/>
  <c r="G10" i="3"/>
  <c r="F8" i="3"/>
  <c r="G8" i="3"/>
  <c r="M16" i="2"/>
  <c r="M5" i="2"/>
  <c r="M8" i="2"/>
  <c r="M20" i="2"/>
  <c r="M15" i="2"/>
  <c r="M12" i="2"/>
  <c r="M7" i="2"/>
  <c r="M4" i="2"/>
  <c r="M13" i="2"/>
  <c r="M10" i="2"/>
  <c r="M14" i="2"/>
  <c r="M19" i="2"/>
  <c r="M17" i="2"/>
  <c r="M6" i="2"/>
  <c r="M11" i="2"/>
  <c r="M18" i="2"/>
  <c r="M9" i="2"/>
  <c r="M21" i="2"/>
  <c r="M3" i="2"/>
  <c r="AD26" i="2"/>
  <c r="AF26" i="2" s="1"/>
  <c r="AG27" i="2" s="1"/>
  <c r="AF27" i="2" s="1"/>
  <c r="Y14" i="2"/>
  <c r="X14" i="2"/>
  <c r="X10" i="2"/>
  <c r="Y10" i="2"/>
  <c r="F14" i="2"/>
  <c r="G14" i="2"/>
  <c r="Y6" i="2"/>
  <c r="X6" i="2"/>
  <c r="X11" i="2"/>
  <c r="Y11" i="2"/>
  <c r="Y12" i="2"/>
  <c r="X12" i="2"/>
  <c r="Y21" i="2"/>
  <c r="X21" i="2"/>
  <c r="Y13" i="2"/>
  <c r="X13" i="2"/>
  <c r="G8" i="2"/>
  <c r="F8" i="2"/>
  <c r="G7" i="2"/>
  <c r="F7" i="2"/>
  <c r="G10" i="2"/>
  <c r="F10" i="2"/>
  <c r="Y9" i="2"/>
  <c r="X9" i="2"/>
  <c r="G15" i="2"/>
  <c r="F15" i="2"/>
  <c r="X3" i="2"/>
  <c r="Y3" i="2"/>
  <c r="X18" i="2"/>
  <c r="Y18" i="2"/>
  <c r="G6" i="2"/>
  <c r="F6" i="2"/>
  <c r="Y5" i="2"/>
  <c r="X5" i="2"/>
  <c r="Y17" i="2"/>
  <c r="X17" i="2"/>
  <c r="Y19" i="2"/>
  <c r="X19" i="2"/>
  <c r="G16" i="2"/>
  <c r="F16" i="2"/>
  <c r="F19" i="2"/>
  <c r="G19" i="2"/>
  <c r="Y7" i="2"/>
  <c r="X7" i="2"/>
  <c r="Y20" i="2"/>
  <c r="X20" i="2"/>
  <c r="G3" i="2"/>
  <c r="F3" i="2"/>
  <c r="G5" i="2"/>
  <c r="F5" i="2"/>
  <c r="G4" i="2"/>
  <c r="F4" i="2"/>
  <c r="G17" i="2"/>
  <c r="F17" i="2"/>
  <c r="AE4" i="2"/>
  <c r="Q4" i="2" s="1"/>
  <c r="G21" i="2"/>
  <c r="F21" i="2"/>
  <c r="AG4" i="2"/>
  <c r="AE3" i="2"/>
  <c r="Q3" i="2" s="1"/>
  <c r="F2" i="2"/>
  <c r="G2" i="2"/>
  <c r="F11" i="2"/>
  <c r="G11" i="2"/>
  <c r="Y4" i="2"/>
  <c r="X4" i="2"/>
  <c r="Y2" i="2"/>
  <c r="X2" i="2"/>
  <c r="X15" i="2"/>
  <c r="Y15" i="2"/>
  <c r="Y16" i="2"/>
  <c r="X16" i="2"/>
  <c r="G13" i="2"/>
  <c r="F13" i="2"/>
  <c r="G12" i="2"/>
  <c r="F12" i="2"/>
  <c r="AF4" i="2"/>
  <c r="G20" i="2"/>
  <c r="F20" i="2"/>
  <c r="G18" i="2"/>
  <c r="F18" i="2"/>
  <c r="G9" i="2"/>
  <c r="F9" i="2"/>
  <c r="X8" i="2"/>
  <c r="Y8" i="2"/>
  <c r="G12" i="3" l="1"/>
  <c r="F11" i="3"/>
  <c r="G19" i="3"/>
  <c r="G18" i="3"/>
  <c r="F7" i="3"/>
  <c r="F13" i="3"/>
  <c r="F5" i="3"/>
  <c r="F6" i="3"/>
  <c r="F16" i="3"/>
  <c r="F21" i="3"/>
  <c r="G20" i="3"/>
  <c r="F17" i="3"/>
  <c r="F14" i="3"/>
  <c r="F15" i="3"/>
  <c r="P3" i="3"/>
  <c r="I3" i="3" s="1"/>
  <c r="S4" i="3"/>
  <c r="Q4" i="3" s="1"/>
  <c r="AE26" i="2"/>
  <c r="V2" i="2" s="1"/>
  <c r="AH28" i="2"/>
  <c r="AF28" i="2" s="1"/>
  <c r="O7" i="2"/>
  <c r="N7" i="2"/>
  <c r="N3" i="2"/>
  <c r="O3" i="2"/>
  <c r="N15" i="2"/>
  <c r="O15" i="2"/>
  <c r="AE27" i="2"/>
  <c r="V3" i="2" s="1"/>
  <c r="O10" i="2"/>
  <c r="N10" i="2"/>
  <c r="O9" i="2"/>
  <c r="N9" i="2"/>
  <c r="AI5" i="2"/>
  <c r="N8" i="2"/>
  <c r="O8" i="2"/>
  <c r="O2" i="2"/>
  <c r="N2" i="2"/>
  <c r="N14" i="2"/>
  <c r="O14" i="2"/>
  <c r="N6" i="2"/>
  <c r="O6" i="2"/>
  <c r="N18" i="2"/>
  <c r="O18" i="2"/>
  <c r="O4" i="2"/>
  <c r="N4" i="2"/>
  <c r="N11" i="2"/>
  <c r="O11" i="2"/>
  <c r="O12" i="2"/>
  <c r="N12" i="2"/>
  <c r="O19" i="2"/>
  <c r="N19" i="2"/>
  <c r="O20" i="2"/>
  <c r="N20" i="2"/>
  <c r="O5" i="2"/>
  <c r="N5" i="2"/>
  <c r="O17" i="2"/>
  <c r="N17" i="2"/>
  <c r="O13" i="2"/>
  <c r="N13" i="2"/>
  <c r="O21" i="2"/>
  <c r="N21" i="2"/>
  <c r="O16" i="2"/>
  <c r="N16" i="2"/>
  <c r="R4" i="3" l="1"/>
  <c r="T5" i="3" s="1"/>
  <c r="S5" i="3" s="1"/>
  <c r="P4" i="3"/>
  <c r="I4" i="3" s="1"/>
  <c r="AG28" i="2"/>
  <c r="AI29" i="2" s="1"/>
  <c r="AF29" i="2" s="1"/>
  <c r="AE5" i="2"/>
  <c r="Q5" i="2" s="1"/>
  <c r="AF5" i="2"/>
  <c r="AG5" i="2"/>
  <c r="AH5" i="2"/>
  <c r="AE28" i="2"/>
  <c r="V4" i="2" s="1"/>
  <c r="P5" i="3" l="1"/>
  <c r="I5" i="3" s="1"/>
  <c r="Q5" i="3"/>
  <c r="R5" i="3"/>
  <c r="AG29" i="2"/>
  <c r="AH29" i="2"/>
  <c r="AJ6" i="2"/>
  <c r="AF6" i="2" s="1"/>
  <c r="AE29" i="2"/>
  <c r="V5" i="2" s="1"/>
  <c r="U6" i="3" l="1"/>
  <c r="R6" i="3" s="1"/>
  <c r="AJ30" i="2"/>
  <c r="AI30" i="2" s="1"/>
  <c r="AI6" i="2"/>
  <c r="AE6" i="2"/>
  <c r="Q6" i="2" s="1"/>
  <c r="AG6" i="2"/>
  <c r="AH6" i="2"/>
  <c r="T6" i="3" l="1"/>
  <c r="Q6" i="3"/>
  <c r="P6" i="3"/>
  <c r="I6" i="3" s="1"/>
  <c r="S6" i="3"/>
  <c r="AG30" i="2"/>
  <c r="AH30" i="2"/>
  <c r="AF30" i="2"/>
  <c r="AE30" i="2"/>
  <c r="V6" i="2" s="1"/>
  <c r="AK7" i="2"/>
  <c r="AJ7" i="2" s="1"/>
  <c r="V7" i="3" l="1"/>
  <c r="AK31" i="2"/>
  <c r="AG31" i="2" s="1"/>
  <c r="AH7" i="2"/>
  <c r="AE7" i="2"/>
  <c r="Q7" i="2" s="1"/>
  <c r="AI7" i="2"/>
  <c r="AG7" i="2"/>
  <c r="AF7" i="2"/>
  <c r="P7" i="3" l="1"/>
  <c r="I7" i="3" s="1"/>
  <c r="Q7" i="3"/>
  <c r="U7" i="3"/>
  <c r="R7" i="3"/>
  <c r="T7" i="3"/>
  <c r="S7" i="3"/>
  <c r="AJ31" i="2"/>
  <c r="AI31" i="2"/>
  <c r="AE31" i="2"/>
  <c r="V7" i="2" s="1"/>
  <c r="AF31" i="2"/>
  <c r="AH31" i="2"/>
  <c r="AL8" i="2"/>
  <c r="AF8" i="2" s="1"/>
  <c r="W8" i="3" l="1"/>
  <c r="S8" i="3" s="1"/>
  <c r="AL32" i="2"/>
  <c r="AH32" i="2" s="1"/>
  <c r="AE8" i="2"/>
  <c r="Q8" i="2" s="1"/>
  <c r="AG8" i="2"/>
  <c r="AI8" i="2"/>
  <c r="AH8" i="2"/>
  <c r="AK8" i="2"/>
  <c r="AJ8" i="2"/>
  <c r="AM9" i="2" l="1"/>
  <c r="AL9" i="2" s="1"/>
  <c r="P8" i="3"/>
  <c r="I8" i="3" s="1"/>
  <c r="R8" i="3"/>
  <c r="Q8" i="3"/>
  <c r="V8" i="3"/>
  <c r="U8" i="3"/>
  <c r="T8" i="3"/>
  <c r="AI32" i="2"/>
  <c r="AE32" i="2"/>
  <c r="V8" i="2" s="1"/>
  <c r="AF32" i="2"/>
  <c r="AG32" i="2"/>
  <c r="AJ32" i="2"/>
  <c r="AK32" i="2"/>
  <c r="AF9" i="2" l="1"/>
  <c r="AE9" i="2"/>
  <c r="Q9" i="2" s="1"/>
  <c r="AK9" i="2"/>
  <c r="AH9" i="2"/>
  <c r="AI9" i="2"/>
  <c r="AG9" i="2"/>
  <c r="AN10" i="2" s="1"/>
  <c r="AH10" i="2" s="1"/>
  <c r="AJ9" i="2"/>
  <c r="X9" i="3"/>
  <c r="U9" i="3" s="1"/>
  <c r="AM33" i="2"/>
  <c r="AK33" i="2" s="1"/>
  <c r="R9" i="3" l="1"/>
  <c r="V9" i="3"/>
  <c r="W9" i="3"/>
  <c r="S9" i="3"/>
  <c r="P9" i="3"/>
  <c r="I9" i="3" s="1"/>
  <c r="Q9" i="3"/>
  <c r="T9" i="3"/>
  <c r="AG33" i="2"/>
  <c r="AF33" i="2"/>
  <c r="AL33" i="2"/>
  <c r="AJ33" i="2"/>
  <c r="AH33" i="2"/>
  <c r="AI33" i="2"/>
  <c r="AE33" i="2"/>
  <c r="V9" i="2" s="1"/>
  <c r="AG10" i="2"/>
  <c r="AI10" i="2"/>
  <c r="AJ10" i="2"/>
  <c r="AM10" i="2"/>
  <c r="AL10" i="2"/>
  <c r="AK10" i="2"/>
  <c r="AF10" i="2"/>
  <c r="AE10" i="2"/>
  <c r="Q10" i="2" s="1"/>
  <c r="AO11" i="2" l="1"/>
  <c r="AG11" i="2" s="1"/>
  <c r="Y10" i="3"/>
  <c r="AN34" i="2"/>
  <c r="AJ34" i="2" s="1"/>
  <c r="AN11" i="2" l="1"/>
  <c r="AE11" i="2"/>
  <c r="Q11" i="2" s="1"/>
  <c r="AK11" i="2"/>
  <c r="AJ11" i="2"/>
  <c r="AM11" i="2"/>
  <c r="AF11" i="2"/>
  <c r="AP12" i="2" s="1"/>
  <c r="AI11" i="2"/>
  <c r="AH11" i="2"/>
  <c r="AL11" i="2"/>
  <c r="P10" i="3"/>
  <c r="I10" i="3" s="1"/>
  <c r="V10" i="3"/>
  <c r="Q10" i="3"/>
  <c r="S10" i="3"/>
  <c r="R10" i="3"/>
  <c r="T10" i="3"/>
  <c r="U10" i="3"/>
  <c r="W10" i="3"/>
  <c r="X10" i="3"/>
  <c r="AK34" i="2"/>
  <c r="AF34" i="2"/>
  <c r="AL34" i="2"/>
  <c r="AG34" i="2"/>
  <c r="AH34" i="2"/>
  <c r="AM34" i="2"/>
  <c r="AE34" i="2"/>
  <c r="V10" i="2" s="1"/>
  <c r="AI34" i="2"/>
  <c r="Z11" i="3" l="1"/>
  <c r="V11" i="3" s="1"/>
  <c r="AO35" i="2"/>
  <c r="AF35" i="2" s="1"/>
  <c r="AE12" i="2"/>
  <c r="Q12" i="2" s="1"/>
  <c r="AO12" i="2"/>
  <c r="AL12" i="2"/>
  <c r="AH12" i="2"/>
  <c r="AF12" i="2"/>
  <c r="AK12" i="2"/>
  <c r="AG12" i="2"/>
  <c r="AM12" i="2"/>
  <c r="AN12" i="2"/>
  <c r="AJ12" i="2"/>
  <c r="AI12" i="2"/>
  <c r="R11" i="3" l="1"/>
  <c r="T11" i="3"/>
  <c r="X11" i="3"/>
  <c r="U11" i="3"/>
  <c r="P11" i="3"/>
  <c r="I11" i="3" s="1"/>
  <c r="S11" i="3"/>
  <c r="Q11" i="3"/>
  <c r="W11" i="3"/>
  <c r="Y11" i="3"/>
  <c r="AH35" i="2"/>
  <c r="AG35" i="2"/>
  <c r="AI35" i="2"/>
  <c r="AE35" i="2"/>
  <c r="V11" i="2" s="1"/>
  <c r="AM35" i="2"/>
  <c r="AK35" i="2"/>
  <c r="AN35" i="2"/>
  <c r="AJ35" i="2"/>
  <c r="AL35" i="2"/>
  <c r="AQ13" i="2"/>
  <c r="AK13" i="2" s="1"/>
  <c r="AA12" i="3" l="1"/>
  <c r="Y12" i="3" s="1"/>
  <c r="AP36" i="2"/>
  <c r="AJ36" i="2" s="1"/>
  <c r="AL13" i="2"/>
  <c r="AE13" i="2"/>
  <c r="Q13" i="2" s="1"/>
  <c r="AH13" i="2"/>
  <c r="AJ13" i="2"/>
  <c r="AF13" i="2"/>
  <c r="AG13" i="2"/>
  <c r="AM13" i="2"/>
  <c r="AP13" i="2"/>
  <c r="AN13" i="2"/>
  <c r="AO13" i="2"/>
  <c r="AI13" i="2"/>
  <c r="S12" i="3" l="1"/>
  <c r="V12" i="3"/>
  <c r="W12" i="3"/>
  <c r="Q12" i="3"/>
  <c r="T12" i="3"/>
  <c r="R12" i="3"/>
  <c r="U12" i="3"/>
  <c r="Z12" i="3"/>
  <c r="X12" i="3"/>
  <c r="P12" i="3"/>
  <c r="I12" i="3" s="1"/>
  <c r="AN36" i="2"/>
  <c r="AO36" i="2"/>
  <c r="AF36" i="2"/>
  <c r="AE36" i="2"/>
  <c r="V12" i="2" s="1"/>
  <c r="AH36" i="2"/>
  <c r="AL36" i="2"/>
  <c r="AK36" i="2"/>
  <c r="AM36" i="2"/>
  <c r="AG36" i="2"/>
  <c r="AI36" i="2"/>
  <c r="AR14" i="2"/>
  <c r="AP14" i="2" s="1"/>
  <c r="AB13" i="3" l="1"/>
  <c r="Z13" i="3" s="1"/>
  <c r="AQ37" i="2"/>
  <c r="AM37" i="2" s="1"/>
  <c r="AK14" i="2"/>
  <c r="AQ14" i="2"/>
  <c r="AF14" i="2"/>
  <c r="AE14" i="2"/>
  <c r="Q14" i="2" s="1"/>
  <c r="AL14" i="2"/>
  <c r="AJ14" i="2"/>
  <c r="AN14" i="2"/>
  <c r="AM14" i="2"/>
  <c r="AG14" i="2"/>
  <c r="AH14" i="2"/>
  <c r="AO14" i="2"/>
  <c r="AI14" i="2"/>
  <c r="X13" i="3" l="1"/>
  <c r="W13" i="3"/>
  <c r="T13" i="3"/>
  <c r="AA13" i="3"/>
  <c r="Q13" i="3"/>
  <c r="Y13" i="3"/>
  <c r="V13" i="3"/>
  <c r="U13" i="3"/>
  <c r="R13" i="3"/>
  <c r="P13" i="3"/>
  <c r="I13" i="3" s="1"/>
  <c r="S13" i="3"/>
  <c r="AI37" i="2"/>
  <c r="AN37" i="2"/>
  <c r="AF37" i="2"/>
  <c r="AO37" i="2"/>
  <c r="AL37" i="2"/>
  <c r="AH37" i="2"/>
  <c r="AP37" i="2"/>
  <c r="AK37" i="2"/>
  <c r="AE37" i="2"/>
  <c r="V13" i="2" s="1"/>
  <c r="AJ37" i="2"/>
  <c r="AG37" i="2"/>
  <c r="AS15" i="2"/>
  <c r="AG15" i="2" s="1"/>
  <c r="AC14" i="3" l="1"/>
  <c r="P14" i="3" s="1"/>
  <c r="I14" i="3" s="1"/>
  <c r="AR38" i="2"/>
  <c r="AE38" i="2" s="1"/>
  <c r="V14" i="2" s="1"/>
  <c r="AE15" i="2"/>
  <c r="Q15" i="2" s="1"/>
  <c r="AF15" i="2"/>
  <c r="AJ15" i="2"/>
  <c r="AM15" i="2"/>
  <c r="AP15" i="2"/>
  <c r="AH15" i="2"/>
  <c r="AQ15" i="2"/>
  <c r="AL15" i="2"/>
  <c r="AI15" i="2"/>
  <c r="AO15" i="2"/>
  <c r="AN15" i="2"/>
  <c r="AK15" i="2"/>
  <c r="AR15" i="2"/>
  <c r="X14" i="3" l="1"/>
  <c r="V14" i="3"/>
  <c r="T14" i="3"/>
  <c r="AB14" i="3"/>
  <c r="W14" i="3"/>
  <c r="AA14" i="3"/>
  <c r="R14" i="3"/>
  <c r="Z14" i="3"/>
  <c r="U14" i="3"/>
  <c r="Q14" i="3"/>
  <c r="Y14" i="3"/>
  <c r="S14" i="3"/>
  <c r="AI38" i="2"/>
  <c r="AP38" i="2"/>
  <c r="AH38" i="2"/>
  <c r="AK38" i="2"/>
  <c r="AQ38" i="2"/>
  <c r="AF38" i="2"/>
  <c r="AL38" i="2"/>
  <c r="AG38" i="2"/>
  <c r="AO38" i="2"/>
  <c r="AJ38" i="2"/>
  <c r="AN38" i="2"/>
  <c r="AM38" i="2"/>
  <c r="AT16" i="2"/>
  <c r="AP16" i="2" s="1"/>
  <c r="AD15" i="3" l="1"/>
  <c r="R15" i="3" s="1"/>
  <c r="AS39" i="2"/>
  <c r="AQ39" i="2" s="1"/>
  <c r="S15" i="3"/>
  <c r="Y15" i="3"/>
  <c r="Z15" i="3"/>
  <c r="AB15" i="3"/>
  <c r="P15" i="3"/>
  <c r="I15" i="3" s="1"/>
  <c r="AF16" i="2"/>
  <c r="AO16" i="2"/>
  <c r="AN16" i="2"/>
  <c r="AM16" i="2"/>
  <c r="AJ16" i="2"/>
  <c r="AE16" i="2"/>
  <c r="Q16" i="2" s="1"/>
  <c r="AG16" i="2"/>
  <c r="AQ16" i="2"/>
  <c r="AH16" i="2"/>
  <c r="AL16" i="2"/>
  <c r="AI16" i="2"/>
  <c r="AS16" i="2"/>
  <c r="AK16" i="2"/>
  <c r="AR16" i="2"/>
  <c r="X15" i="3" l="1"/>
  <c r="W15" i="3"/>
  <c r="AA15" i="3"/>
  <c r="AC15" i="3"/>
  <c r="V15" i="3"/>
  <c r="T15" i="3"/>
  <c r="U15" i="3"/>
  <c r="Q15" i="3"/>
  <c r="AE16" i="3" s="1"/>
  <c r="Z16" i="3" s="1"/>
  <c r="AG39" i="2"/>
  <c r="AM39" i="2"/>
  <c r="AP39" i="2"/>
  <c r="AE39" i="2"/>
  <c r="V15" i="2" s="1"/>
  <c r="AL39" i="2"/>
  <c r="AF39" i="2"/>
  <c r="AK39" i="2"/>
  <c r="AO39" i="2"/>
  <c r="AR39" i="2"/>
  <c r="AJ39" i="2"/>
  <c r="AN39" i="2"/>
  <c r="AH39" i="2"/>
  <c r="AI39" i="2"/>
  <c r="AU17" i="2"/>
  <c r="AG17" i="2" s="1"/>
  <c r="X16" i="3" l="1"/>
  <c r="S16" i="3"/>
  <c r="W16" i="3"/>
  <c r="V16" i="3"/>
  <c r="T16" i="3"/>
  <c r="Y16" i="3"/>
  <c r="AC16" i="3"/>
  <c r="Q16" i="3"/>
  <c r="AT40" i="2"/>
  <c r="AH40" i="2" s="1"/>
  <c r="AD16" i="3"/>
  <c r="U16" i="3"/>
  <c r="R16" i="3"/>
  <c r="AA16" i="3"/>
  <c r="P16" i="3"/>
  <c r="I16" i="3" s="1"/>
  <c r="AB16" i="3"/>
  <c r="AS17" i="2"/>
  <c r="AJ17" i="2"/>
  <c r="AN17" i="2"/>
  <c r="AI17" i="2"/>
  <c r="AR17" i="2"/>
  <c r="AE17" i="2"/>
  <c r="Q17" i="2" s="1"/>
  <c r="AT17" i="2"/>
  <c r="AK17" i="2"/>
  <c r="AL17" i="2"/>
  <c r="AO17" i="2"/>
  <c r="AM17" i="2"/>
  <c r="AF17" i="2"/>
  <c r="AP17" i="2"/>
  <c r="AQ17" i="2"/>
  <c r="AH17" i="2"/>
  <c r="AJ40" i="2" l="1"/>
  <c r="AF17" i="3"/>
  <c r="Y17" i="3" s="1"/>
  <c r="AG40" i="2"/>
  <c r="AL40" i="2"/>
  <c r="AS40" i="2"/>
  <c r="AK40" i="2"/>
  <c r="AR40" i="2"/>
  <c r="AE40" i="2"/>
  <c r="V16" i="2" s="1"/>
  <c r="AF40" i="2"/>
  <c r="AO40" i="2"/>
  <c r="AM40" i="2"/>
  <c r="AI40" i="2"/>
  <c r="AP40" i="2"/>
  <c r="AN40" i="2"/>
  <c r="AQ40" i="2"/>
  <c r="AV18" i="2"/>
  <c r="AH18" i="2" s="1"/>
  <c r="AC17" i="3" l="1"/>
  <c r="X17" i="3"/>
  <c r="AD17" i="3"/>
  <c r="Z17" i="3"/>
  <c r="V17" i="3"/>
  <c r="AB17" i="3"/>
  <c r="T17" i="3"/>
  <c r="Q17" i="3"/>
  <c r="AA17" i="3"/>
  <c r="W17" i="3"/>
  <c r="U17" i="3"/>
  <c r="R17" i="3"/>
  <c r="AE17" i="3"/>
  <c r="P17" i="3"/>
  <c r="I17" i="3" s="1"/>
  <c r="S17" i="3"/>
  <c r="AU41" i="2"/>
  <c r="AJ41" i="2" s="1"/>
  <c r="AM18" i="2"/>
  <c r="AQ18" i="2"/>
  <c r="AJ18" i="2"/>
  <c r="AR18" i="2"/>
  <c r="AL18" i="2"/>
  <c r="AU18" i="2"/>
  <c r="AI18" i="2"/>
  <c r="AO18" i="2"/>
  <c r="AE18" i="2"/>
  <c r="Q18" i="2" s="1"/>
  <c r="AG18" i="2"/>
  <c r="AK18" i="2"/>
  <c r="AS18" i="2"/>
  <c r="AF18" i="2"/>
  <c r="AN18" i="2"/>
  <c r="AT18" i="2"/>
  <c r="AP18" i="2"/>
  <c r="AG18" i="3" l="1"/>
  <c r="AE18" i="3" s="1"/>
  <c r="AL41" i="2"/>
  <c r="AR41" i="2"/>
  <c r="AI41" i="2"/>
  <c r="AQ41" i="2"/>
  <c r="AF41" i="2"/>
  <c r="AG41" i="2"/>
  <c r="AH41" i="2"/>
  <c r="AK41" i="2"/>
  <c r="AO41" i="2"/>
  <c r="AM41" i="2"/>
  <c r="AE41" i="2"/>
  <c r="V17" i="2" s="1"/>
  <c r="AS41" i="2"/>
  <c r="AP41" i="2"/>
  <c r="AN41" i="2"/>
  <c r="AT41" i="2"/>
  <c r="AW19" i="2"/>
  <c r="AT19" i="2" s="1"/>
  <c r="AV42" i="2" l="1"/>
  <c r="AF42" i="2" s="1"/>
  <c r="X18" i="3"/>
  <c r="Q18" i="3"/>
  <c r="R18" i="3"/>
  <c r="P18" i="3"/>
  <c r="I18" i="3" s="1"/>
  <c r="U18" i="3"/>
  <c r="W18" i="3"/>
  <c r="AC18" i="3"/>
  <c r="T18" i="3"/>
  <c r="AA18" i="3"/>
  <c r="AD18" i="3"/>
  <c r="V18" i="3"/>
  <c r="Y18" i="3"/>
  <c r="AB18" i="3"/>
  <c r="AF18" i="3"/>
  <c r="Z18" i="3"/>
  <c r="S18" i="3"/>
  <c r="AS19" i="2"/>
  <c r="AF19" i="2"/>
  <c r="AP19" i="2"/>
  <c r="AV19" i="2"/>
  <c r="AG19" i="2"/>
  <c r="AU19" i="2"/>
  <c r="AN19" i="2"/>
  <c r="AK19" i="2"/>
  <c r="AJ19" i="2"/>
  <c r="AH19" i="2"/>
  <c r="AQ19" i="2"/>
  <c r="AM19" i="2"/>
  <c r="AR19" i="2"/>
  <c r="AL19" i="2"/>
  <c r="AO19" i="2"/>
  <c r="AI19" i="2"/>
  <c r="AT42" i="2" l="1"/>
  <c r="AQ42" i="2"/>
  <c r="AU42" i="2"/>
  <c r="AM42" i="2"/>
  <c r="AH42" i="2"/>
  <c r="AJ42" i="2"/>
  <c r="AG42" i="2"/>
  <c r="AE42" i="2"/>
  <c r="V18" i="2" s="1"/>
  <c r="AO42" i="2"/>
  <c r="AI42" i="2"/>
  <c r="AP42" i="2"/>
  <c r="AN42" i="2"/>
  <c r="AL42" i="2"/>
  <c r="AK42" i="2"/>
  <c r="AR42" i="2"/>
  <c r="AS42" i="2"/>
  <c r="AH19" i="3"/>
  <c r="AE19" i="2"/>
  <c r="Q19" i="2" s="1"/>
  <c r="AX20" i="2"/>
  <c r="AV20" i="2" s="1"/>
  <c r="X19" i="3" l="1"/>
  <c r="P19" i="3"/>
  <c r="AW43" i="2"/>
  <c r="AF43" i="2" s="1"/>
  <c r="AF19" i="3"/>
  <c r="U19" i="3"/>
  <c r="T19" i="3"/>
  <c r="W19" i="3"/>
  <c r="S19" i="3"/>
  <c r="AC19" i="3"/>
  <c r="AB19" i="3"/>
  <c r="AE19" i="3"/>
  <c r="AD19" i="3"/>
  <c r="Q19" i="3"/>
  <c r="AA19" i="3"/>
  <c r="V19" i="3"/>
  <c r="R19" i="3"/>
  <c r="AG19" i="3"/>
  <c r="I19" i="3" s="1"/>
  <c r="Z19" i="3"/>
  <c r="Y19" i="3"/>
  <c r="AE20" i="2"/>
  <c r="Q20" i="2" s="1"/>
  <c r="AU20" i="2"/>
  <c r="AM20" i="2"/>
  <c r="AP20" i="2"/>
  <c r="AI20" i="2"/>
  <c r="AK20" i="2"/>
  <c r="AJ20" i="2"/>
  <c r="AR20" i="2"/>
  <c r="AH20" i="2"/>
  <c r="AG20" i="2"/>
  <c r="AS20" i="2"/>
  <c r="AF20" i="2"/>
  <c r="AY21" i="2" s="1"/>
  <c r="AN20" i="2"/>
  <c r="AQ20" i="2"/>
  <c r="AT20" i="2"/>
  <c r="AW20" i="2"/>
  <c r="AL20" i="2"/>
  <c r="AO20" i="2"/>
  <c r="AS43" i="2" l="1"/>
  <c r="AR43" i="2"/>
  <c r="AQ43" i="2"/>
  <c r="AN43" i="2"/>
  <c r="AH43" i="2"/>
  <c r="AM43" i="2"/>
  <c r="AK43" i="2"/>
  <c r="AI43" i="2"/>
  <c r="AG43" i="2"/>
  <c r="AO43" i="2"/>
  <c r="AJ43" i="2"/>
  <c r="AP43" i="2"/>
  <c r="AU43" i="2"/>
  <c r="AT43" i="2"/>
  <c r="AL43" i="2"/>
  <c r="AV43" i="2"/>
  <c r="AE43" i="2" s="1"/>
  <c r="V19" i="2" s="1"/>
  <c r="AI20" i="3"/>
  <c r="P20" i="3" s="1"/>
  <c r="AX21" i="2"/>
  <c r="W20" i="3" l="1"/>
  <c r="AX44" i="2"/>
  <c r="AL44" i="2" s="1"/>
  <c r="X20" i="3"/>
  <c r="S20" i="3"/>
  <c r="AG20" i="3"/>
  <c r="I20" i="3" s="1"/>
  <c r="AF20" i="3"/>
  <c r="R20" i="3"/>
  <c r="AD20" i="3"/>
  <c r="AA20" i="3"/>
  <c r="AC20" i="3"/>
  <c r="T20" i="3"/>
  <c r="AB20" i="3"/>
  <c r="AE20" i="3"/>
  <c r="Y20" i="3"/>
  <c r="AH20" i="3"/>
  <c r="U20" i="3"/>
  <c r="Q20" i="3"/>
  <c r="V20" i="3"/>
  <c r="Z20" i="3"/>
  <c r="AP21" i="2"/>
  <c r="AH21" i="2"/>
  <c r="AV21" i="2"/>
  <c r="AE21" i="2" s="1"/>
  <c r="Q21" i="2" s="1"/>
  <c r="AT21" i="2"/>
  <c r="AM21" i="2"/>
  <c r="AF21" i="2"/>
  <c r="AR21" i="2"/>
  <c r="AN21" i="2"/>
  <c r="AG21" i="2"/>
  <c r="AI21" i="2" s="1"/>
  <c r="AJ21" i="2"/>
  <c r="AK21" i="2"/>
  <c r="AQ21" i="2"/>
  <c r="AO21" i="2"/>
  <c r="AS21" i="2"/>
  <c r="AW21" i="2"/>
  <c r="AL21" i="2"/>
  <c r="AU21" i="2"/>
  <c r="AT44" i="2" l="1"/>
  <c r="AK44" i="2"/>
  <c r="AN44" i="2"/>
  <c r="AW44" i="2"/>
  <c r="AS44" i="2"/>
  <c r="AU44" i="2"/>
  <c r="AO44" i="2"/>
  <c r="AG44" i="2"/>
  <c r="AV44" i="2"/>
  <c r="AE44" i="2" s="1"/>
  <c r="V20" i="2" s="1"/>
  <c r="AM44" i="2"/>
  <c r="AQ44" i="2"/>
  <c r="AH44" i="2"/>
  <c r="AR44" i="2"/>
  <c r="AI44" i="2"/>
  <c r="AP44" i="2"/>
  <c r="AF44" i="2"/>
  <c r="AJ44" i="2"/>
  <c r="W21" i="3"/>
  <c r="AY45" i="2" l="1"/>
  <c r="AX45" i="2" s="1"/>
  <c r="AF21" i="3"/>
  <c r="P21" i="3"/>
  <c r="AE21" i="3"/>
  <c r="Y21" i="3"/>
  <c r="AH21" i="3"/>
  <c r="AD21" i="3"/>
  <c r="AI21" i="3"/>
  <c r="AG21" i="3"/>
  <c r="R21" i="3"/>
  <c r="T21" i="3" s="1"/>
  <c r="V21" i="3"/>
  <c r="Q21" i="3"/>
  <c r="Z21" i="3"/>
  <c r="S21" i="3"/>
  <c r="AC21" i="3"/>
  <c r="U21" i="3"/>
  <c r="X21" i="3"/>
  <c r="AA21" i="3"/>
  <c r="AB21" i="3"/>
  <c r="I21" i="3" l="1"/>
  <c r="AG45" i="2"/>
  <c r="AI45" i="2" s="1"/>
  <c r="AR45" i="2"/>
  <c r="AJ45" i="2"/>
  <c r="AS45" i="2"/>
  <c r="AM45" i="2"/>
  <c r="AW45" i="2"/>
  <c r="AU45" i="2"/>
  <c r="AN45" i="2"/>
  <c r="AQ45" i="2"/>
  <c r="AH45" i="2"/>
  <c r="AF45" i="2"/>
  <c r="AT45" i="2"/>
  <c r="AK45" i="2"/>
  <c r="AP45" i="2"/>
  <c r="AO45" i="2"/>
  <c r="AL45" i="2"/>
  <c r="AV45" i="2"/>
  <c r="AE45" i="2" s="1"/>
  <c r="V21" i="2" s="1"/>
</calcChain>
</file>

<file path=xl/comments1.xml><?xml version="1.0" encoding="utf-8"?>
<comments xmlns="http://schemas.openxmlformats.org/spreadsheetml/2006/main">
  <authors>
    <author>branko</author>
  </authors>
  <commentList>
    <comment ref="K2" authorId="0" shapeId="0">
      <text>
        <r>
          <rPr>
            <sz val="9"/>
            <color indexed="81"/>
            <rFont val="Tahoma"/>
            <family val="2"/>
          </rPr>
          <t>Uses the log-likelihood method to measure goodness of fit</t>
        </r>
      </text>
    </comment>
    <comment ref="L2" authorId="0" shapeId="0">
      <text>
        <r>
          <rPr>
            <sz val="9"/>
            <color indexed="81"/>
            <rFont val="Tahoma"/>
            <family val="2"/>
          </rPr>
          <t>Uses the Akaike-Information Criterion (AIC) method to measure goodness of fit</t>
        </r>
      </text>
    </comment>
    <comment ref="M2" authorId="0" shapeId="0">
      <text>
        <r>
          <rPr>
            <sz val="9"/>
            <color indexed="81"/>
            <rFont val="Tahoma"/>
            <family val="2"/>
          </rPr>
          <t>Examines the values of the model's parameters for stability: stationarity, invertibility, and causality</t>
        </r>
      </text>
    </comment>
    <comment ref="P2" authorId="0" shapeId="0">
      <text>
        <r>
          <rPr>
            <sz val="9"/>
            <color indexed="81"/>
            <rFont val="Tahoma"/>
            <family val="2"/>
          </rPr>
          <t>Average</t>
        </r>
      </text>
    </comment>
    <comment ref="Q2" authorId="0" shapeId="0">
      <text>
        <r>
          <rPr>
            <sz val="9"/>
            <color indexed="81"/>
            <rFont val="Tahoma"/>
            <family val="2"/>
          </rPr>
          <t>Standard Deviation</t>
        </r>
      </text>
    </comment>
    <comment ref="R2" authorId="0" shapeId="0">
      <text>
        <r>
          <rPr>
            <sz val="9"/>
            <color indexed="81"/>
            <rFont val="Tahoma"/>
            <family val="2"/>
          </rPr>
          <t>Skewness</t>
        </r>
      </text>
    </comment>
    <comment ref="S2" authorId="0" shapeId="0">
      <text>
        <r>
          <rPr>
            <sz val="9"/>
            <color indexed="81"/>
            <rFont val="Tahoma"/>
            <family val="2"/>
          </rPr>
          <t>Excess Kurtosis (aka fat-tails)</t>
        </r>
      </text>
    </comment>
    <comment ref="T2" authorId="0" shapeId="0">
      <text>
        <r>
          <rPr>
            <sz val="9"/>
            <color indexed="81"/>
            <rFont val="Tahoma"/>
            <family val="2"/>
          </rPr>
          <t>Determines if observations are not significantly autocorrelated</t>
        </r>
      </text>
    </comment>
    <comment ref="U2" authorId="0" shapeId="0">
      <text>
        <r>
          <rPr>
            <sz val="9"/>
            <color indexed="81"/>
            <rFont val="Tahoma"/>
            <family val="2"/>
          </rPr>
          <t>Determines if observations are normaly distributed</t>
        </r>
      </text>
    </comment>
    <comment ref="V2" authorId="0" shapeId="0">
      <text>
        <r>
          <rPr>
            <sz val="9"/>
            <color indexed="81"/>
            <rFont val="Tahoma"/>
            <family val="2"/>
          </rPr>
          <t>Determines if observations exhibit a significant ARCH effect</t>
        </r>
      </text>
    </comment>
    <comment ref="H3" authorId="0" shapeId="0">
      <text>
        <r>
          <rPr>
            <sz val="9"/>
            <color indexed="81"/>
            <rFont val="Tahoma"/>
            <family val="2"/>
          </rPr>
          <t>ARMA long-run mean (mu)</t>
        </r>
      </text>
    </comment>
    <comment ref="H4" authorId="0" shapeId="0">
      <text>
        <r>
          <rPr>
            <sz val="9"/>
            <color indexed="81"/>
            <rFont val="Tahoma"/>
            <family val="2"/>
          </rPr>
          <t>1stCoefficient of the non-seasonal MA component</t>
        </r>
      </text>
    </comment>
    <comment ref="O4" authorId="0" shapeId="0">
      <text>
        <r>
          <rPr>
            <sz val="9"/>
            <color indexed="81"/>
            <rFont val="Tahoma"/>
            <family val="2"/>
          </rPr>
          <t>Targets the desired sample statistics value</t>
        </r>
      </text>
    </comment>
    <comment ref="H5" authorId="0" shapeId="0">
      <text>
        <r>
          <rPr>
            <sz val="9"/>
            <color indexed="81"/>
            <rFont val="Tahoma"/>
            <family val="2"/>
          </rPr>
          <t>1stCoefficient of the seasonal MA component</t>
        </r>
      </text>
    </comment>
    <comment ref="O5" authorId="0" shapeId="0">
      <text>
        <r>
          <rPr>
            <sz val="9"/>
            <color indexed="81"/>
            <rFont val="Tahoma"/>
            <family val="2"/>
          </rPr>
          <t>Determines if the calculated statistics (e.g. mean, stdev, etc.) are significantly different from the target value</t>
        </r>
      </text>
    </comment>
    <comment ref="H6" authorId="0" shapeId="0">
      <text>
        <r>
          <rPr>
            <sz val="9"/>
            <color indexed="81"/>
            <rFont val="Tahoma"/>
            <family val="2"/>
          </rPr>
          <t>Standard deviation of the residuals/innovations</t>
        </r>
      </text>
    </comment>
    <comment ref="H8" authorId="0" shapeId="0">
      <text>
        <r>
          <rPr>
            <sz val="9"/>
            <color indexed="81"/>
            <rFont val="Tahoma"/>
            <family val="2"/>
          </rPr>
          <t>Integration order(d)</t>
        </r>
      </text>
    </comment>
    <comment ref="H9" authorId="0" shapeId="0">
      <text>
        <r>
          <rPr>
            <sz val="9"/>
            <color indexed="81"/>
            <rFont val="Tahoma"/>
            <family val="2"/>
          </rPr>
          <t>Period/season length</t>
        </r>
      </text>
    </comment>
    <comment ref="H10" authorId="0" shapeId="0">
      <text>
        <r>
          <rPr>
            <sz val="9"/>
            <color indexed="81"/>
            <rFont val="Tahoma"/>
            <family val="2"/>
          </rPr>
          <t>Seasonal integration order (D)</t>
        </r>
      </text>
    </comment>
  </commentList>
</comments>
</file>

<file path=xl/sharedStrings.xml><?xml version="1.0" encoding="utf-8"?>
<sst xmlns="http://schemas.openxmlformats.org/spreadsheetml/2006/main" count="134" uniqueCount="71">
  <si>
    <t>Param</t>
  </si>
  <si>
    <t>Value</t>
  </si>
  <si>
    <t>μ</t>
  </si>
  <si>
    <r>
      <t>θ</t>
    </r>
    <r>
      <rPr>
        <b/>
        <vertAlign val="subscript"/>
        <sz val="11"/>
        <color theme="1"/>
        <rFont val="Calibri"/>
        <family val="2"/>
        <scheme val="minor"/>
      </rPr>
      <t>1</t>
    </r>
  </si>
  <si>
    <r>
      <t>Θ</t>
    </r>
    <r>
      <rPr>
        <b/>
        <vertAlign val="subscript"/>
        <sz val="11"/>
        <color theme="1"/>
        <rFont val="Calibri"/>
        <family val="2"/>
        <scheme val="minor"/>
      </rPr>
      <t>1</t>
    </r>
  </si>
  <si>
    <t>σ</t>
  </si>
  <si>
    <t>d</t>
  </si>
  <si>
    <t>s</t>
  </si>
  <si>
    <t>D</t>
  </si>
  <si>
    <t>Goodness-of-fit</t>
  </si>
  <si>
    <t>LLF</t>
  </si>
  <si>
    <t>AIC</t>
  </si>
  <si>
    <t>CHECK</t>
  </si>
  <si>
    <t>Residuals (standardized) Analysis</t>
  </si>
  <si>
    <t>Target</t>
  </si>
  <si>
    <t>SIG?</t>
  </si>
  <si>
    <t>AVG</t>
  </si>
  <si>
    <t>STDEV</t>
  </si>
  <si>
    <t>SKEW</t>
  </si>
  <si>
    <t>KURTOSIS</t>
  </si>
  <si>
    <t>Noise?</t>
  </si>
  <si>
    <t>Normal?</t>
  </si>
  <si>
    <t>ARCH?</t>
  </si>
  <si>
    <t>Date</t>
  </si>
  <si>
    <t>Variable</t>
  </si>
  <si>
    <t>Fit</t>
  </si>
  <si>
    <t>Forecast</t>
  </si>
  <si>
    <t>CI+</t>
  </si>
  <si>
    <t>CI-</t>
  </si>
  <si>
    <t xml:space="preserve">PERIOD </t>
  </si>
  <si>
    <r>
      <t>y</t>
    </r>
    <r>
      <rPr>
        <b/>
        <vertAlign val="subscript"/>
        <sz val="11"/>
        <rFont val="Calibri"/>
        <family val="2"/>
        <scheme val="minor"/>
      </rPr>
      <t>t</t>
    </r>
  </si>
  <si>
    <r>
      <t>y</t>
    </r>
    <r>
      <rPr>
        <b/>
        <vertAlign val="subscript"/>
        <sz val="11"/>
        <rFont val="Calibri"/>
        <family val="2"/>
        <scheme val="minor"/>
      </rPr>
      <t>t</t>
    </r>
    <r>
      <rPr>
        <b/>
        <sz val="11"/>
        <rFont val="Calibri"/>
        <family val="2"/>
        <scheme val="minor"/>
      </rPr>
      <t xml:space="preserve"> - </t>
    </r>
    <r>
      <rPr>
        <b/>
        <sz val="11"/>
        <rFont val="Symbol"/>
        <family val="1"/>
        <charset val="2"/>
      </rPr>
      <t>m</t>
    </r>
  </si>
  <si>
    <r>
      <t>ACF y</t>
    </r>
    <r>
      <rPr>
        <b/>
        <vertAlign val="subscript"/>
        <sz val="11"/>
        <rFont val="Calibri"/>
        <family val="2"/>
        <scheme val="minor"/>
      </rPr>
      <t>t</t>
    </r>
  </si>
  <si>
    <t>2SE</t>
  </si>
  <si>
    <t>-CI</t>
  </si>
  <si>
    <t>+CI</t>
  </si>
  <si>
    <t>Lag Level</t>
  </si>
  <si>
    <r>
      <t>Diff y</t>
    </r>
    <r>
      <rPr>
        <b/>
        <vertAlign val="subscript"/>
        <sz val="11"/>
        <rFont val="Calibri"/>
        <family val="2"/>
        <scheme val="minor"/>
      </rPr>
      <t>t</t>
    </r>
  </si>
  <si>
    <r>
      <t>ACF Diff y</t>
    </r>
    <r>
      <rPr>
        <b/>
        <vertAlign val="subscript"/>
        <sz val="11"/>
        <rFont val="Calibri"/>
        <family val="2"/>
        <scheme val="minor"/>
      </rPr>
      <t>t</t>
    </r>
  </si>
  <si>
    <r>
      <t>PACF y</t>
    </r>
    <r>
      <rPr>
        <b/>
        <vertAlign val="subscript"/>
        <sz val="11"/>
        <rFont val="Calibri"/>
        <family val="2"/>
        <scheme val="minor"/>
      </rPr>
      <t>t</t>
    </r>
  </si>
  <si>
    <r>
      <t>PACF Diff y</t>
    </r>
    <r>
      <rPr>
        <b/>
        <vertAlign val="subscript"/>
        <sz val="11"/>
        <rFont val="Calibri"/>
        <family val="2"/>
        <scheme val="minor"/>
      </rPr>
      <t>t</t>
    </r>
  </si>
  <si>
    <t>Lag k</t>
  </si>
  <si>
    <r>
      <t>ACF r</t>
    </r>
    <r>
      <rPr>
        <vertAlign val="subscript"/>
        <sz val="11"/>
        <rFont val="Calibri"/>
        <family val="2"/>
        <scheme val="minor"/>
      </rPr>
      <t>k</t>
    </r>
  </si>
  <si>
    <r>
      <t>PACF r</t>
    </r>
    <r>
      <rPr>
        <vertAlign val="subscript"/>
        <sz val="11"/>
        <rFont val="Calibri"/>
        <family val="2"/>
        <scheme val="minor"/>
      </rPr>
      <t>k,j</t>
    </r>
  </si>
  <si>
    <t>k,1</t>
  </si>
  <si>
    <t>k,2</t>
  </si>
  <si>
    <t>k,3</t>
  </si>
  <si>
    <t>k,4</t>
  </si>
  <si>
    <t>k,5</t>
  </si>
  <si>
    <t>k,6</t>
  </si>
  <si>
    <t>k,7</t>
  </si>
  <si>
    <t>k,8</t>
  </si>
  <si>
    <t>k,9</t>
  </si>
  <si>
    <t>k,10</t>
  </si>
  <si>
    <t>k,11</t>
  </si>
  <si>
    <t>k,12</t>
  </si>
  <si>
    <t>k,13</t>
  </si>
  <si>
    <t>k,14</t>
  </si>
  <si>
    <t>k,15</t>
  </si>
  <si>
    <t>k,16</t>
  </si>
  <si>
    <t>k,17</t>
  </si>
  <si>
    <t>k,18</t>
  </si>
  <si>
    <t>k,19</t>
  </si>
  <si>
    <t>k,20</t>
  </si>
  <si>
    <t>Options:</t>
  </si>
  <si>
    <t>1,2,3,4,5,</t>
  </si>
  <si>
    <t>7,12,30</t>
  </si>
  <si>
    <r>
      <t>e</t>
    </r>
    <r>
      <rPr>
        <b/>
        <vertAlign val="subscript"/>
        <sz val="11"/>
        <rFont val="Calibri"/>
        <family val="2"/>
        <scheme val="minor"/>
      </rPr>
      <t>t</t>
    </r>
  </si>
  <si>
    <r>
      <t>e</t>
    </r>
    <r>
      <rPr>
        <b/>
        <vertAlign val="subscript"/>
        <sz val="11"/>
        <rFont val="Calibri"/>
        <family val="2"/>
        <scheme val="minor"/>
      </rPr>
      <t>t</t>
    </r>
    <r>
      <rPr>
        <b/>
        <sz val="11"/>
        <rFont val="Calibri"/>
        <family val="2"/>
        <scheme val="minor"/>
      </rPr>
      <t xml:space="preserve"> - </t>
    </r>
    <r>
      <rPr>
        <b/>
        <sz val="11"/>
        <rFont val="Symbol"/>
        <family val="1"/>
        <charset val="2"/>
      </rPr>
      <t>m</t>
    </r>
  </si>
  <si>
    <r>
      <t>ACF e</t>
    </r>
    <r>
      <rPr>
        <b/>
        <vertAlign val="subscript"/>
        <sz val="11"/>
        <rFont val="Calibri"/>
        <family val="2"/>
        <scheme val="minor"/>
      </rPr>
      <t>t</t>
    </r>
  </si>
  <si>
    <r>
      <t>PACF e</t>
    </r>
    <r>
      <rPr>
        <b/>
        <vertAlign val="subscript"/>
        <sz val="11"/>
        <rFont val="Calibri"/>
        <family val="2"/>
        <scheme val="minor"/>
      </rPr>
      <t>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</si>
</sst>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vertAlign val="sub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b/>
      <sz val="11"/>
      <name val="Symbol"/>
      <family val="1"/>
      <charset val="2"/>
    </font>
    <font>
      <sz val="11"/>
      <name val="Calibri"/>
      <family val="2"/>
      <scheme val="minor"/>
    </font>
    <font>
      <vertAlign val="subscript"/>
      <sz val="1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2" fontId="0" fillId="0" borderId="0" xfId="0" applyNumberFormat="1"/>
    <xf numFmtId="17" fontId="0" fillId="0" borderId="0" xfId="0" applyNumberFormat="1"/>
    <xf numFmtId="0" fontId="1" fillId="0" borderId="0" xfId="0" applyFont="1" applyAlignment="1">
      <alignment horizontal="left"/>
    </xf>
    <xf numFmtId="0" fontId="0" fillId="0" borderId="1" xfId="0" applyBorder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2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" fontId="0" fillId="0" borderId="0" xfId="0" applyNumberFormat="1"/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quotePrefix="1"/>
    <xf numFmtId="0" fontId="4" fillId="2" borderId="2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right" wrapText="1"/>
    </xf>
    <xf numFmtId="0" fontId="4" fillId="2" borderId="3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2" xfId="0" quotePrefix="1" applyFont="1" applyFill="1" applyBorder="1" applyAlignment="1">
      <alignment horizontal="center"/>
    </xf>
    <xf numFmtId="0" fontId="4" fillId="0" borderId="2" xfId="0" quotePrefix="1" applyFont="1" applyBorder="1" applyAlignment="1">
      <alignment horizontal="center"/>
    </xf>
    <xf numFmtId="0" fontId="4" fillId="3" borderId="2" xfId="0" quotePrefix="1" applyFont="1" applyFill="1" applyBorder="1" applyAlignment="1">
      <alignment horizontal="center"/>
    </xf>
    <xf numFmtId="0" fontId="4" fillId="3" borderId="2" xfId="0" applyFont="1" applyFill="1" applyBorder="1" applyAlignment="1">
      <alignment horizontal="right" wrapText="1"/>
    </xf>
    <xf numFmtId="0" fontId="4" fillId="3" borderId="3" xfId="0" applyNumberFormat="1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0" fillId="0" borderId="0" xfId="0" applyBorder="1"/>
    <xf numFmtId="0" fontId="7" fillId="0" borderId="2" xfId="0" applyFont="1" applyBorder="1" applyAlignment="1">
      <alignment horizontal="center"/>
    </xf>
    <xf numFmtId="0" fontId="7" fillId="2" borderId="0" xfId="0" applyFont="1" applyFill="1" applyAlignment="1">
      <alignment horizontal="center"/>
    </xf>
    <xf numFmtId="2" fontId="7" fillId="2" borderId="0" xfId="0" applyNumberFormat="1" applyFont="1" applyFill="1" applyAlignment="1">
      <alignment horizontal="center"/>
    </xf>
    <xf numFmtId="164" fontId="7" fillId="2" borderId="0" xfId="0" quotePrefix="1" applyNumberFormat="1" applyFont="1" applyFill="1" applyAlignment="1">
      <alignment horizontal="center"/>
    </xf>
    <xf numFmtId="164" fontId="7" fillId="2" borderId="0" xfId="0" applyNumberFormat="1" applyFont="1" applyFill="1"/>
    <xf numFmtId="164" fontId="7" fillId="0" borderId="0" xfId="0" applyNumberFormat="1" applyFont="1"/>
    <xf numFmtId="1" fontId="7" fillId="3" borderId="0" xfId="0" applyNumberFormat="1" applyFont="1" applyFill="1"/>
    <xf numFmtId="2" fontId="7" fillId="3" borderId="0" xfId="0" quotePrefix="1" applyNumberFormat="1" applyFont="1" applyFill="1"/>
    <xf numFmtId="2" fontId="7" fillId="3" borderId="0" xfId="0" applyNumberFormat="1" applyFont="1" applyFill="1" applyAlignment="1">
      <alignment horizontal="center"/>
    </xf>
    <xf numFmtId="164" fontId="7" fillId="3" borderId="0" xfId="0" quotePrefix="1" applyNumberFormat="1" applyFont="1" applyFill="1" applyAlignment="1">
      <alignment horizontal="center"/>
    </xf>
    <xf numFmtId="164" fontId="7" fillId="3" borderId="0" xfId="0" applyNumberFormat="1" applyFont="1" applyFill="1"/>
    <xf numFmtId="164" fontId="0" fillId="2" borderId="0" xfId="0" applyNumberFormat="1" applyFill="1"/>
    <xf numFmtId="164" fontId="7" fillId="2" borderId="0" xfId="0" quotePrefix="1" applyNumberFormat="1" applyFont="1" applyFill="1"/>
    <xf numFmtId="0" fontId="0" fillId="2" borderId="0" xfId="0" applyFill="1"/>
    <xf numFmtId="164" fontId="0" fillId="3" borderId="0" xfId="0" applyNumberFormat="1" applyFill="1"/>
    <xf numFmtId="164" fontId="7" fillId="3" borderId="0" xfId="0" quotePrefix="1" applyNumberFormat="1" applyFont="1" applyFill="1"/>
    <xf numFmtId="0" fontId="7" fillId="0" borderId="0" xfId="0" applyFont="1" applyBorder="1" applyAlignment="1">
      <alignment horizontal="center"/>
    </xf>
    <xf numFmtId="164" fontId="9" fillId="0" borderId="0" xfId="0" quotePrefix="1" applyNumberFormat="1" applyFont="1" applyFill="1"/>
    <xf numFmtId="164" fontId="4" fillId="0" borderId="0" xfId="0" applyNumberFormat="1" applyFont="1"/>
    <xf numFmtId="164" fontId="7" fillId="0" borderId="0" xfId="0" applyNumberFormat="1" applyFont="1" applyBorder="1"/>
    <xf numFmtId="0" fontId="7" fillId="0" borderId="0" xfId="0" applyFont="1"/>
    <xf numFmtId="164" fontId="4" fillId="3" borderId="0" xfId="0" applyNumberFormat="1" applyFont="1" applyFill="1" applyAlignment="1">
      <alignment horizontal="left"/>
    </xf>
    <xf numFmtId="164" fontId="4" fillId="0" borderId="0" xfId="0" applyNumberFormat="1" applyFont="1" applyBorder="1"/>
    <xf numFmtId="0" fontId="7" fillId="0" borderId="0" xfId="0" applyFont="1" applyAlignment="1">
      <alignment horizontal="center" vertical="center"/>
    </xf>
    <xf numFmtId="164" fontId="7" fillId="0" borderId="0" xfId="0" quotePrefix="1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ACF Data Set y</a:t>
            </a:r>
            <a:r>
              <a:rPr lang="en-US" baseline="-25000"/>
              <a:t>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ACF_PACF!$D$1</c:f>
              <c:strCache>
                <c:ptCount val="1"/>
                <c:pt idx="0">
                  <c:v>ACF yt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ACF_PACF!$D$2:$D$21</c:f>
              <c:numCache>
                <c:formatCode>0.000</c:formatCode>
                <c:ptCount val="20"/>
                <c:pt idx="0">
                  <c:v>0.93453224441155103</c:v>
                </c:pt>
                <c:pt idx="1">
                  <c:v>0.8055942170427135</c:v>
                </c:pt>
                <c:pt idx="2">
                  <c:v>0.66185985947431358</c:v>
                </c:pt>
                <c:pt idx="3">
                  <c:v>0.53840254217894734</c:v>
                </c:pt>
                <c:pt idx="4">
                  <c:v>0.44816600358404857</c:v>
                </c:pt>
                <c:pt idx="5">
                  <c:v>0.39346433665159014</c:v>
                </c:pt>
                <c:pt idx="6">
                  <c:v>0.37284303277847586</c:v>
                </c:pt>
                <c:pt idx="7">
                  <c:v>0.39050323005593746</c:v>
                </c:pt>
                <c:pt idx="8">
                  <c:v>0.44945876502632343</c:v>
                </c:pt>
                <c:pt idx="9">
                  <c:v>0.53985362608215393</c:v>
                </c:pt>
                <c:pt idx="10">
                  <c:v>0.61756181735832893</c:v>
                </c:pt>
                <c:pt idx="11">
                  <c:v>0.63770854856621872</c:v>
                </c:pt>
                <c:pt idx="12">
                  <c:v>0.58128407056019937</c:v>
                </c:pt>
                <c:pt idx="13">
                  <c:v>0.47073840431812047</c:v>
                </c:pt>
                <c:pt idx="14">
                  <c:v>0.34783068793566346</c:v>
                </c:pt>
                <c:pt idx="15">
                  <c:v>0.24211223371912835</c:v>
                </c:pt>
                <c:pt idx="16">
                  <c:v>0.15933837608028129</c:v>
                </c:pt>
                <c:pt idx="17">
                  <c:v>0.10220704106201509</c:v>
                </c:pt>
                <c:pt idx="18">
                  <c:v>7.2748198519509644E-2</c:v>
                </c:pt>
                <c:pt idx="19">
                  <c:v>7.7395628727315618E-2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858-43F3-9965-369DDEAC5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2885304"/>
        <c:axId val="702887928"/>
      </c:barChart>
      <c:lineChart>
        <c:grouping val="standard"/>
        <c:varyColors val="0"/>
        <c:ser>
          <c:idx val="1"/>
          <c:order val="1"/>
          <c:tx>
            <c:strRef>
              <c:f>ACF_PACF!$F$1</c:f>
              <c:strCache>
                <c:ptCount val="1"/>
                <c:pt idx="0">
                  <c:v>-CI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ACF_PACF!$F$2:$F$21</c:f>
              <c:numCache>
                <c:formatCode>0.000</c:formatCode>
                <c:ptCount val="20"/>
                <c:pt idx="0">
                  <c:v>-0.36317569238833058</c:v>
                </c:pt>
                <c:pt idx="1">
                  <c:v>-0.4407094495317524</c:v>
                </c:pt>
                <c:pt idx="2">
                  <c:v>-0.48610282318613002</c:v>
                </c:pt>
                <c:pt idx="3">
                  <c:v>-0.51394140751081663</c:v>
                </c:pt>
                <c:pt idx="4">
                  <c:v>-0.53237737562244869</c:v>
                </c:pt>
                <c:pt idx="5">
                  <c:v>-0.54616300160924047</c:v>
                </c:pt>
                <c:pt idx="6">
                  <c:v>-0.55825149332955515</c:v>
                </c:pt>
                <c:pt idx="7">
                  <c:v>-0.57121811569072389</c:v>
                </c:pt>
                <c:pt idx="8">
                  <c:v>-0.58795533983507819</c:v>
                </c:pt>
                <c:pt idx="9">
                  <c:v>-0.61129499043188218</c:v>
                </c:pt>
                <c:pt idx="10">
                  <c:v>-0.64055409612608194</c:v>
                </c:pt>
                <c:pt idx="11">
                  <c:v>-0.6703479301611992</c:v>
                </c:pt>
                <c:pt idx="12">
                  <c:v>-0.69413069050733311</c:v>
                </c:pt>
                <c:pt idx="13">
                  <c:v>-0.70929497759309978</c:v>
                </c:pt>
                <c:pt idx="14">
                  <c:v>-0.71743911148152173</c:v>
                </c:pt>
                <c:pt idx="15">
                  <c:v>-0.72135191373803453</c:v>
                </c:pt>
                <c:pt idx="16">
                  <c:v>-0.72304005140729999</c:v>
                </c:pt>
                <c:pt idx="17">
                  <c:v>-0.72373349832485667</c:v>
                </c:pt>
                <c:pt idx="18">
                  <c:v>-0.72408455937603233</c:v>
                </c:pt>
                <c:pt idx="19">
                  <c:v>-0.72448170213701191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858-43F3-9965-369DDEAC5812}"/>
            </c:ext>
          </c:extLst>
        </c:ser>
        <c:ser>
          <c:idx val="2"/>
          <c:order val="2"/>
          <c:tx>
            <c:strRef>
              <c:f>ACF_PACF!$G$1</c:f>
              <c:strCache>
                <c:ptCount val="1"/>
                <c:pt idx="0">
                  <c:v>+CI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ACF_PACF!$G$2:$G$21</c:f>
              <c:numCache>
                <c:formatCode>0.000</c:formatCode>
                <c:ptCount val="20"/>
                <c:pt idx="0">
                  <c:v>0.36317569238833058</c:v>
                </c:pt>
                <c:pt idx="1">
                  <c:v>0.4407094495317524</c:v>
                </c:pt>
                <c:pt idx="2">
                  <c:v>0.48610282318613002</c:v>
                </c:pt>
                <c:pt idx="3">
                  <c:v>0.51394140751081663</c:v>
                </c:pt>
                <c:pt idx="4">
                  <c:v>0.53237737562244869</c:v>
                </c:pt>
                <c:pt idx="5">
                  <c:v>0.54616300160924047</c:v>
                </c:pt>
                <c:pt idx="6">
                  <c:v>0.55825149332955515</c:v>
                </c:pt>
                <c:pt idx="7">
                  <c:v>0.57121811569072389</c:v>
                </c:pt>
                <c:pt idx="8">
                  <c:v>0.58795533983507819</c:v>
                </c:pt>
                <c:pt idx="9">
                  <c:v>0.61129499043188218</c:v>
                </c:pt>
                <c:pt idx="10">
                  <c:v>0.64055409612608194</c:v>
                </c:pt>
                <c:pt idx="11">
                  <c:v>0.6703479301611992</c:v>
                </c:pt>
                <c:pt idx="12">
                  <c:v>0.69413069050733311</c:v>
                </c:pt>
                <c:pt idx="13">
                  <c:v>0.70929497759309978</c:v>
                </c:pt>
                <c:pt idx="14">
                  <c:v>0.71743911148152173</c:v>
                </c:pt>
                <c:pt idx="15">
                  <c:v>0.72135191373803453</c:v>
                </c:pt>
                <c:pt idx="16">
                  <c:v>0.72304005140729999</c:v>
                </c:pt>
                <c:pt idx="17">
                  <c:v>0.72373349832485667</c:v>
                </c:pt>
                <c:pt idx="18">
                  <c:v>0.72408455937603233</c:v>
                </c:pt>
                <c:pt idx="19">
                  <c:v>0.72448170213701191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858-43F3-9965-369DDEAC5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2885304"/>
        <c:axId val="702887928"/>
      </c:lineChart>
      <c:catAx>
        <c:axId val="7028853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2887928"/>
        <c:crosses val="autoZero"/>
        <c:auto val="1"/>
        <c:lblAlgn val="ctr"/>
        <c:lblOffset val="100"/>
        <c:noMultiLvlLbl val="0"/>
      </c:catAx>
      <c:valAx>
        <c:axId val="702887928"/>
        <c:scaling>
          <c:orientation val="minMax"/>
          <c:max val="1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2885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ACF Differenced y</a:t>
            </a:r>
            <a:r>
              <a:rPr lang="en-US" baseline="-25000"/>
              <a:t>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ACF_PACF!$L$1</c:f>
              <c:strCache>
                <c:ptCount val="1"/>
                <c:pt idx="0">
                  <c:v>ACF Diff yt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ACF_PACF!$L$2:$L$21</c:f>
              <c:numCache>
                <c:formatCode>0.000</c:formatCode>
                <c:ptCount val="20"/>
                <c:pt idx="0">
                  <c:v>0.91457739484213429</c:v>
                </c:pt>
                <c:pt idx="1">
                  <c:v>0.82943292781837863</c:v>
                </c:pt>
                <c:pt idx="2">
                  <c:v>0.74444025965858129</c:v>
                </c:pt>
                <c:pt idx="3">
                  <c:v>0.65900855228180677</c:v>
                </c:pt>
                <c:pt idx="4">
                  <c:v>0.57310733834540861</c:v>
                </c:pt>
                <c:pt idx="5">
                  <c:v>0.48710513673244649</c:v>
                </c:pt>
                <c:pt idx="6">
                  <c:v>0.40109173474993409</c:v>
                </c:pt>
                <c:pt idx="7">
                  <c:v>0.31513202651033284</c:v>
                </c:pt>
                <c:pt idx="8">
                  <c:v>0.2295034598261749</c:v>
                </c:pt>
                <c:pt idx="9">
                  <c:v>0.14445241250770849</c:v>
                </c:pt>
                <c:pt idx="10">
                  <c:v>5.9341853399162432E-2</c:v>
                </c:pt>
                <c:pt idx="11">
                  <c:v>-2.6141472878422761E-2</c:v>
                </c:pt>
                <c:pt idx="12">
                  <c:v>-2.8350103789699498E-2</c:v>
                </c:pt>
                <c:pt idx="13">
                  <c:v>-3.0726781821075928E-2</c:v>
                </c:pt>
                <c:pt idx="14">
                  <c:v>-3.3267029273919189E-2</c:v>
                </c:pt>
                <c:pt idx="15">
                  <c:v>-3.573336164961452E-2</c:v>
                </c:pt>
                <c:pt idx="16">
                  <c:v>-3.8360263615366694E-2</c:v>
                </c:pt>
                <c:pt idx="17">
                  <c:v>-4.0909177490718485E-2</c:v>
                </c:pt>
                <c:pt idx="18">
                  <c:v>-4.3431016069206567E-2</c:v>
                </c:pt>
                <c:pt idx="19">
                  <c:v>-4.5787226296000773E-2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530-44CB-BF0C-338BD6D012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2885304"/>
        <c:axId val="702887928"/>
      </c:barChart>
      <c:lineChart>
        <c:grouping val="standard"/>
        <c:varyColors val="0"/>
        <c:ser>
          <c:idx val="1"/>
          <c:order val="1"/>
          <c:tx>
            <c:strRef>
              <c:f>ACF_PACF!$N$1</c:f>
              <c:strCache>
                <c:ptCount val="1"/>
                <c:pt idx="0">
                  <c:v>-CI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ACF_PACF!$N$2:$N$21</c:f>
              <c:numCache>
                <c:formatCode>0.000</c:formatCode>
                <c:ptCount val="20"/>
                <c:pt idx="0">
                  <c:v>-0.35826363469300632</c:v>
                </c:pt>
                <c:pt idx="1">
                  <c:v>-0.44093583722652113</c:v>
                </c:pt>
                <c:pt idx="2">
                  <c:v>-0.49764339141790342</c:v>
                </c:pt>
                <c:pt idx="3">
                  <c:v>-0.53792041681174907</c:v>
                </c:pt>
                <c:pt idx="4">
                  <c:v>-0.56648292732018934</c:v>
                </c:pt>
                <c:pt idx="5">
                  <c:v>-0.58625118641074758</c:v>
                </c:pt>
                <c:pt idx="6">
                  <c:v>-0.59928361249155548</c:v>
                </c:pt>
                <c:pt idx="7">
                  <c:v>-0.6071889386059458</c:v>
                </c:pt>
                <c:pt idx="8">
                  <c:v>-0.61134033933142973</c:v>
                </c:pt>
                <c:pt idx="9">
                  <c:v>-0.61297718481511154</c:v>
                </c:pt>
                <c:pt idx="10">
                  <c:v>-0.61325298996116384</c:v>
                </c:pt>
                <c:pt idx="11">
                  <c:v>-0.61330649856770625</c:v>
                </c:pt>
                <c:pt idx="12">
                  <c:v>-0.6133694247836815</c:v>
                </c:pt>
                <c:pt idx="13">
                  <c:v>-0.61344333560361775</c:v>
                </c:pt>
                <c:pt idx="14">
                  <c:v>-0.61352996096932921</c:v>
                </c:pt>
                <c:pt idx="15">
                  <c:v>-0.61362989163085191</c:v>
                </c:pt>
                <c:pt idx="16">
                  <c:v>-0.61374503477132059</c:v>
                </c:pt>
                <c:pt idx="17">
                  <c:v>-0.61387596180821946</c:v>
                </c:pt>
                <c:pt idx="18">
                  <c:v>-0.61402349485923258</c:v>
                </c:pt>
                <c:pt idx="19">
                  <c:v>-0.6141874284180443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530-44CB-BF0C-338BD6D0125C}"/>
            </c:ext>
          </c:extLst>
        </c:ser>
        <c:ser>
          <c:idx val="2"/>
          <c:order val="2"/>
          <c:tx>
            <c:strRef>
              <c:f>ACF_PACF!$O$1</c:f>
              <c:strCache>
                <c:ptCount val="1"/>
                <c:pt idx="0">
                  <c:v>+CI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ACF_PACF!$O$2:$O$21</c:f>
              <c:numCache>
                <c:formatCode>0.000</c:formatCode>
                <c:ptCount val="20"/>
                <c:pt idx="0">
                  <c:v>0.35826363469300632</c:v>
                </c:pt>
                <c:pt idx="1">
                  <c:v>0.44093583722652113</c:v>
                </c:pt>
                <c:pt idx="2">
                  <c:v>0.49764339141790342</c:v>
                </c:pt>
                <c:pt idx="3">
                  <c:v>0.53792041681174907</c:v>
                </c:pt>
                <c:pt idx="4">
                  <c:v>0.56648292732018934</c:v>
                </c:pt>
                <c:pt idx="5">
                  <c:v>0.58625118641074758</c:v>
                </c:pt>
                <c:pt idx="6">
                  <c:v>0.59928361249155548</c:v>
                </c:pt>
                <c:pt idx="7">
                  <c:v>0.6071889386059458</c:v>
                </c:pt>
                <c:pt idx="8">
                  <c:v>0.61134033933142973</c:v>
                </c:pt>
                <c:pt idx="9">
                  <c:v>0.61297718481511154</c:v>
                </c:pt>
                <c:pt idx="10">
                  <c:v>0.61325298996116384</c:v>
                </c:pt>
                <c:pt idx="11">
                  <c:v>0.61330649856770625</c:v>
                </c:pt>
                <c:pt idx="12">
                  <c:v>0.6133694247836815</c:v>
                </c:pt>
                <c:pt idx="13">
                  <c:v>0.61344333560361775</c:v>
                </c:pt>
                <c:pt idx="14">
                  <c:v>0.61352996096932921</c:v>
                </c:pt>
                <c:pt idx="15">
                  <c:v>0.61362989163085191</c:v>
                </c:pt>
                <c:pt idx="16">
                  <c:v>0.61374503477132059</c:v>
                </c:pt>
                <c:pt idx="17">
                  <c:v>0.61387596180821946</c:v>
                </c:pt>
                <c:pt idx="18">
                  <c:v>0.61402349485923258</c:v>
                </c:pt>
                <c:pt idx="19">
                  <c:v>0.6141874284180443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530-44CB-BF0C-338BD6D012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2885304"/>
        <c:axId val="702887928"/>
      </c:lineChart>
      <c:catAx>
        <c:axId val="7028853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2887928"/>
        <c:crosses val="autoZero"/>
        <c:auto val="1"/>
        <c:lblAlgn val="ctr"/>
        <c:lblOffset val="100"/>
        <c:noMultiLvlLbl val="0"/>
      </c:catAx>
      <c:valAx>
        <c:axId val="702887928"/>
        <c:scaling>
          <c:orientation val="minMax"/>
          <c:max val="1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2885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PACF Data Set y</a:t>
            </a:r>
            <a:r>
              <a:rPr lang="en-US" baseline="-25000"/>
              <a:t>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ACF_PACF!$Q$1</c:f>
              <c:strCache>
                <c:ptCount val="1"/>
                <c:pt idx="0">
                  <c:v>PACF yt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ACF_PACF!$Q$2:$Q$21</c:f>
              <c:numCache>
                <c:formatCode>0.000</c:formatCode>
                <c:ptCount val="20"/>
                <c:pt idx="0">
                  <c:v>0.93453224441155103</c:v>
                </c:pt>
                <c:pt idx="1">
                  <c:v>-0.53499072068225406</c:v>
                </c:pt>
                <c:pt idx="2">
                  <c:v>6.8610076746140836E-2</c:v>
                </c:pt>
                <c:pt idx="3">
                  <c:v>0.12032394388684031</c:v>
                </c:pt>
                <c:pt idx="4">
                  <c:v>4.7205703570149284E-2</c:v>
                </c:pt>
                <c:pt idx="5">
                  <c:v>7.3892100089512316E-2</c:v>
                </c:pt>
                <c:pt idx="6">
                  <c:v>0.10941459273960194</c:v>
                </c:pt>
                <c:pt idx="7">
                  <c:v>0.21026450224186577</c:v>
                </c:pt>
                <c:pt idx="8">
                  <c:v>0.24822982247441405</c:v>
                </c:pt>
                <c:pt idx="9">
                  <c:v>0.19715798742701804</c:v>
                </c:pt>
                <c:pt idx="10">
                  <c:v>-0.14834311916560644</c:v>
                </c:pt>
                <c:pt idx="11">
                  <c:v>-0.26576322465232521</c:v>
                </c:pt>
                <c:pt idx="12">
                  <c:v>-0.25914830406669592</c:v>
                </c:pt>
                <c:pt idx="13">
                  <c:v>-7.1769407388785289E-2</c:v>
                </c:pt>
                <c:pt idx="14">
                  <c:v>8.4144716468865913E-2</c:v>
                </c:pt>
                <c:pt idx="15">
                  <c:v>6.0251233141423687E-2</c:v>
                </c:pt>
                <c:pt idx="16">
                  <c:v>-5.3618783587989542E-2</c:v>
                </c:pt>
                <c:pt idx="17">
                  <c:v>-5.413897731990288E-2</c:v>
                </c:pt>
                <c:pt idx="18">
                  <c:v>-5.9942428487673033E-2</c:v>
                </c:pt>
                <c:pt idx="19">
                  <c:v>-6.2126216597250393E-2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916-4C7C-98ED-F98A35FD8F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2885304"/>
        <c:axId val="702887928"/>
      </c:barChart>
      <c:lineChart>
        <c:grouping val="standard"/>
        <c:varyColors val="0"/>
        <c:ser>
          <c:idx val="1"/>
          <c:order val="1"/>
          <c:tx>
            <c:strRef>
              <c:f>ACF_PACF!$S$1</c:f>
              <c:strCache>
                <c:ptCount val="1"/>
                <c:pt idx="0">
                  <c:v>-CI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ACF_PACF!$S$2:$S$21</c:f>
              <c:numCache>
                <c:formatCode>General</c:formatCode>
                <c:ptCount val="20"/>
                <c:pt idx="0">
                  <c:v>-0.21913466179497937</c:v>
                </c:pt>
                <c:pt idx="1">
                  <c:v>-0.21913466179497937</c:v>
                </c:pt>
                <c:pt idx="2">
                  <c:v>-0.21913466179497937</c:v>
                </c:pt>
                <c:pt idx="3">
                  <c:v>-0.21913466179497937</c:v>
                </c:pt>
                <c:pt idx="4">
                  <c:v>-0.21913466179497937</c:v>
                </c:pt>
                <c:pt idx="5">
                  <c:v>-0.21913466179497937</c:v>
                </c:pt>
                <c:pt idx="6">
                  <c:v>-0.21913466179497937</c:v>
                </c:pt>
                <c:pt idx="7">
                  <c:v>-0.21913466179497937</c:v>
                </c:pt>
                <c:pt idx="8">
                  <c:v>-0.21913466179497937</c:v>
                </c:pt>
                <c:pt idx="9">
                  <c:v>-0.21913466179497937</c:v>
                </c:pt>
                <c:pt idx="10">
                  <c:v>-0.21913466179497937</c:v>
                </c:pt>
                <c:pt idx="11">
                  <c:v>-0.21913466179497937</c:v>
                </c:pt>
                <c:pt idx="12">
                  <c:v>-0.21913466179497937</c:v>
                </c:pt>
                <c:pt idx="13">
                  <c:v>-0.21913466179497937</c:v>
                </c:pt>
                <c:pt idx="14">
                  <c:v>-0.21913466179497937</c:v>
                </c:pt>
                <c:pt idx="15">
                  <c:v>-0.21913466179497937</c:v>
                </c:pt>
                <c:pt idx="16">
                  <c:v>-0.21913466179497937</c:v>
                </c:pt>
                <c:pt idx="17">
                  <c:v>-0.21913466179497937</c:v>
                </c:pt>
                <c:pt idx="18">
                  <c:v>-0.21913466179497937</c:v>
                </c:pt>
                <c:pt idx="19">
                  <c:v>-0.21913466179497937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916-4C7C-98ED-F98A35FD8F72}"/>
            </c:ext>
          </c:extLst>
        </c:ser>
        <c:ser>
          <c:idx val="2"/>
          <c:order val="2"/>
          <c:tx>
            <c:strRef>
              <c:f>ACF_PACF!$T$1</c:f>
              <c:strCache>
                <c:ptCount val="1"/>
                <c:pt idx="0">
                  <c:v>+CI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ACF_PACF!$T$2:$T$21</c:f>
              <c:numCache>
                <c:formatCode>General</c:formatCode>
                <c:ptCount val="20"/>
                <c:pt idx="0">
                  <c:v>0.21913466179497937</c:v>
                </c:pt>
                <c:pt idx="1">
                  <c:v>0.21913466179497937</c:v>
                </c:pt>
                <c:pt idx="2">
                  <c:v>0.21913466179497937</c:v>
                </c:pt>
                <c:pt idx="3">
                  <c:v>0.21913466179497937</c:v>
                </c:pt>
                <c:pt idx="4">
                  <c:v>0.21913466179497937</c:v>
                </c:pt>
                <c:pt idx="5">
                  <c:v>0.21913466179497937</c:v>
                </c:pt>
                <c:pt idx="6">
                  <c:v>0.21913466179497937</c:v>
                </c:pt>
                <c:pt idx="7">
                  <c:v>0.21913466179497937</c:v>
                </c:pt>
                <c:pt idx="8">
                  <c:v>0.21913466179497937</c:v>
                </c:pt>
                <c:pt idx="9">
                  <c:v>0.21913466179497937</c:v>
                </c:pt>
                <c:pt idx="10">
                  <c:v>0.21913466179497937</c:v>
                </c:pt>
                <c:pt idx="11">
                  <c:v>0.21913466179497937</c:v>
                </c:pt>
                <c:pt idx="12">
                  <c:v>0.21913466179497937</c:v>
                </c:pt>
                <c:pt idx="13">
                  <c:v>0.21913466179497937</c:v>
                </c:pt>
                <c:pt idx="14">
                  <c:v>0.21913466179497937</c:v>
                </c:pt>
                <c:pt idx="15">
                  <c:v>0.21913466179497937</c:v>
                </c:pt>
                <c:pt idx="16">
                  <c:v>0.21913466179497937</c:v>
                </c:pt>
                <c:pt idx="17">
                  <c:v>0.21913466179497937</c:v>
                </c:pt>
                <c:pt idx="18">
                  <c:v>0.21913466179497937</c:v>
                </c:pt>
                <c:pt idx="19">
                  <c:v>0.21913466179497937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916-4C7C-98ED-F98A35FD8F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2885304"/>
        <c:axId val="702887928"/>
      </c:lineChart>
      <c:catAx>
        <c:axId val="7028853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2887928"/>
        <c:crosses val="autoZero"/>
        <c:auto val="1"/>
        <c:lblAlgn val="ctr"/>
        <c:lblOffset val="100"/>
        <c:noMultiLvlLbl val="0"/>
      </c:catAx>
      <c:valAx>
        <c:axId val="702887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2885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PACF Differenced y</a:t>
            </a:r>
            <a:r>
              <a:rPr lang="en-US" baseline="-25000"/>
              <a:t>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ACF_PACF!$V$1</c:f>
              <c:strCache>
                <c:ptCount val="1"/>
                <c:pt idx="0">
                  <c:v>PACF Diff yt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ACF_PACF!$V$2:$V$21</c:f>
              <c:numCache>
                <c:formatCode>0.000</c:formatCode>
                <c:ptCount val="20"/>
                <c:pt idx="0">
                  <c:v>0.91457739484213429</c:v>
                </c:pt>
                <c:pt idx="1">
                  <c:v>-4.2916301228815353E-2</c:v>
                </c:pt>
                <c:pt idx="2">
                  <c:v>-4.5609065536803529E-2</c:v>
                </c:pt>
                <c:pt idx="3">
                  <c:v>-5.1414402894679509E-2</c:v>
                </c:pt>
                <c:pt idx="4">
                  <c:v>-5.4392721294420882E-2</c:v>
                </c:pt>
                <c:pt idx="5">
                  <c:v>-5.5244887005137001E-2</c:v>
                </c:pt>
                <c:pt idx="6">
                  <c:v>-5.7904932675591991E-2</c:v>
                </c:pt>
                <c:pt idx="7">
                  <c:v>-6.1046920447329477E-2</c:v>
                </c:pt>
                <c:pt idx="8">
                  <c:v>-6.3287054279925495E-2</c:v>
                </c:pt>
                <c:pt idx="9">
                  <c:v>-6.6017360767403527E-2</c:v>
                </c:pt>
                <c:pt idx="10">
                  <c:v>-7.4674012906734755E-2</c:v>
                </c:pt>
                <c:pt idx="11">
                  <c:v>-8.2703117060492048E-2</c:v>
                </c:pt>
                <c:pt idx="12">
                  <c:v>0.44241830949835886</c:v>
                </c:pt>
                <c:pt idx="13">
                  <c:v>-3.1090926123126417E-2</c:v>
                </c:pt>
                <c:pt idx="14">
                  <c:v>-3.2425020837149626E-2</c:v>
                </c:pt>
                <c:pt idx="15">
                  <c:v>-3.4990904092403664E-2</c:v>
                </c:pt>
                <c:pt idx="16">
                  <c:v>-3.8825486563157423E-2</c:v>
                </c:pt>
                <c:pt idx="17">
                  <c:v>-3.9555609636435438E-3</c:v>
                </c:pt>
                <c:pt idx="18">
                  <c:v>-3.9498066841337463E-3</c:v>
                </c:pt>
                <c:pt idx="19">
                  <c:v>-3.862682988839863E-3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ECF-4DAF-944B-3ADED4BDA7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2885304"/>
        <c:axId val="702887928"/>
      </c:barChart>
      <c:lineChart>
        <c:grouping val="standard"/>
        <c:varyColors val="0"/>
        <c:ser>
          <c:idx val="1"/>
          <c:order val="1"/>
          <c:tx>
            <c:strRef>
              <c:f>ACF_PACF!$X$1</c:f>
              <c:strCache>
                <c:ptCount val="1"/>
                <c:pt idx="0">
                  <c:v>-CI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ACF_PACF!$X$2:$X$21</c:f>
              <c:numCache>
                <c:formatCode>0.000</c:formatCode>
                <c:ptCount val="20"/>
                <c:pt idx="0">
                  <c:v>-0.21913466179497937</c:v>
                </c:pt>
                <c:pt idx="1">
                  <c:v>-0.21913466179497937</c:v>
                </c:pt>
                <c:pt idx="2">
                  <c:v>-0.21913466179497937</c:v>
                </c:pt>
                <c:pt idx="3">
                  <c:v>-0.21913466179497937</c:v>
                </c:pt>
                <c:pt idx="4">
                  <c:v>-0.21913466179497937</c:v>
                </c:pt>
                <c:pt idx="5">
                  <c:v>-0.21913466179497937</c:v>
                </c:pt>
                <c:pt idx="6">
                  <c:v>-0.21913466179497937</c:v>
                </c:pt>
                <c:pt idx="7">
                  <c:v>-0.21913466179497937</c:v>
                </c:pt>
                <c:pt idx="8">
                  <c:v>-0.21913466179497937</c:v>
                </c:pt>
                <c:pt idx="9">
                  <c:v>-0.21913466179497937</c:v>
                </c:pt>
                <c:pt idx="10">
                  <c:v>-0.21913466179497937</c:v>
                </c:pt>
                <c:pt idx="11">
                  <c:v>-0.21913466179497937</c:v>
                </c:pt>
                <c:pt idx="12">
                  <c:v>-0.21913466179497937</c:v>
                </c:pt>
                <c:pt idx="13">
                  <c:v>-0.21913466179497937</c:v>
                </c:pt>
                <c:pt idx="14">
                  <c:v>-0.21913466179497937</c:v>
                </c:pt>
                <c:pt idx="15">
                  <c:v>-0.21913466179497937</c:v>
                </c:pt>
                <c:pt idx="16">
                  <c:v>-0.21913466179497937</c:v>
                </c:pt>
                <c:pt idx="17">
                  <c:v>-0.21913466179497937</c:v>
                </c:pt>
                <c:pt idx="18">
                  <c:v>-0.21913466179497937</c:v>
                </c:pt>
                <c:pt idx="19">
                  <c:v>-0.21913466179497937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ECF-4DAF-944B-3ADED4BDA79A}"/>
            </c:ext>
          </c:extLst>
        </c:ser>
        <c:ser>
          <c:idx val="2"/>
          <c:order val="2"/>
          <c:tx>
            <c:strRef>
              <c:f>ACF_PACF!$Y$1</c:f>
              <c:strCache>
                <c:ptCount val="1"/>
                <c:pt idx="0">
                  <c:v>+CI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ACF_PACF!$Y$2:$Y$21</c:f>
              <c:numCache>
                <c:formatCode>0.000</c:formatCode>
                <c:ptCount val="20"/>
                <c:pt idx="0">
                  <c:v>0.21913466179497937</c:v>
                </c:pt>
                <c:pt idx="1">
                  <c:v>0.21913466179497937</c:v>
                </c:pt>
                <c:pt idx="2">
                  <c:v>0.21913466179497937</c:v>
                </c:pt>
                <c:pt idx="3">
                  <c:v>0.21913466179497937</c:v>
                </c:pt>
                <c:pt idx="4">
                  <c:v>0.21913466179497937</c:v>
                </c:pt>
                <c:pt idx="5">
                  <c:v>0.21913466179497937</c:v>
                </c:pt>
                <c:pt idx="6">
                  <c:v>0.21913466179497937</c:v>
                </c:pt>
                <c:pt idx="7">
                  <c:v>0.21913466179497937</c:v>
                </c:pt>
                <c:pt idx="8">
                  <c:v>0.21913466179497937</c:v>
                </c:pt>
                <c:pt idx="9">
                  <c:v>0.21913466179497937</c:v>
                </c:pt>
                <c:pt idx="10">
                  <c:v>0.21913466179497937</c:v>
                </c:pt>
                <c:pt idx="11">
                  <c:v>0.21913466179497937</c:v>
                </c:pt>
                <c:pt idx="12">
                  <c:v>0.21913466179497937</c:v>
                </c:pt>
                <c:pt idx="13">
                  <c:v>0.21913466179497937</c:v>
                </c:pt>
                <c:pt idx="14">
                  <c:v>0.21913466179497937</c:v>
                </c:pt>
                <c:pt idx="15">
                  <c:v>0.21913466179497937</c:v>
                </c:pt>
                <c:pt idx="16">
                  <c:v>0.21913466179497937</c:v>
                </c:pt>
                <c:pt idx="17">
                  <c:v>0.21913466179497937</c:v>
                </c:pt>
                <c:pt idx="18">
                  <c:v>0.21913466179497937</c:v>
                </c:pt>
                <c:pt idx="19">
                  <c:v>0.21913466179497937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ECF-4DAF-944B-3ADED4BDA7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2885304"/>
        <c:axId val="702887928"/>
      </c:lineChart>
      <c:catAx>
        <c:axId val="7028853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2887928"/>
        <c:crosses val="autoZero"/>
        <c:auto val="1"/>
        <c:lblAlgn val="ctr"/>
        <c:lblOffset val="100"/>
        <c:noMultiLvlLbl val="0"/>
      </c:catAx>
      <c:valAx>
        <c:axId val="702887928"/>
        <c:scaling>
          <c:orientation val="minMax"/>
          <c:max val="1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2885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Seasonal Forecasts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SARIMA!$B$1</c:f>
              <c:strCache>
                <c:ptCount val="1"/>
                <c:pt idx="0">
                  <c:v>Variable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SARIMA!$B$2:$B$81</c:f>
              <c:numCache>
                <c:formatCode>General</c:formatCode>
                <c:ptCount val="80"/>
                <c:pt idx="0">
                  <c:v>369.29</c:v>
                </c:pt>
                <c:pt idx="1">
                  <c:v>368.87</c:v>
                </c:pt>
                <c:pt idx="2">
                  <c:v>367.64</c:v>
                </c:pt>
                <c:pt idx="3">
                  <c:v>365.77</c:v>
                </c:pt>
                <c:pt idx="4">
                  <c:v>363.9</c:v>
                </c:pt>
                <c:pt idx="5">
                  <c:v>364.23</c:v>
                </c:pt>
                <c:pt idx="6">
                  <c:v>365.46</c:v>
                </c:pt>
                <c:pt idx="7">
                  <c:v>366.97</c:v>
                </c:pt>
                <c:pt idx="8">
                  <c:v>368.15</c:v>
                </c:pt>
                <c:pt idx="9">
                  <c:v>368.87</c:v>
                </c:pt>
                <c:pt idx="10">
                  <c:v>369.59</c:v>
                </c:pt>
                <c:pt idx="11">
                  <c:v>371.14</c:v>
                </c:pt>
                <c:pt idx="12">
                  <c:v>371</c:v>
                </c:pt>
                <c:pt idx="13">
                  <c:v>370.35</c:v>
                </c:pt>
                <c:pt idx="14">
                  <c:v>369.27</c:v>
                </c:pt>
                <c:pt idx="15">
                  <c:v>366.94</c:v>
                </c:pt>
                <c:pt idx="16">
                  <c:v>364.63</c:v>
                </c:pt>
                <c:pt idx="17">
                  <c:v>365.12</c:v>
                </c:pt>
                <c:pt idx="18">
                  <c:v>366.67</c:v>
                </c:pt>
                <c:pt idx="19">
                  <c:v>368.01</c:v>
                </c:pt>
                <c:pt idx="20">
                  <c:v>369.14</c:v>
                </c:pt>
                <c:pt idx="21">
                  <c:v>369.46</c:v>
                </c:pt>
                <c:pt idx="22">
                  <c:v>370.52</c:v>
                </c:pt>
                <c:pt idx="23">
                  <c:v>371.66</c:v>
                </c:pt>
                <c:pt idx="24">
                  <c:v>371.82</c:v>
                </c:pt>
                <c:pt idx="25">
                  <c:v>371.7</c:v>
                </c:pt>
                <c:pt idx="26">
                  <c:v>370.12</c:v>
                </c:pt>
                <c:pt idx="27">
                  <c:v>368.12</c:v>
                </c:pt>
                <c:pt idx="28">
                  <c:v>366.62</c:v>
                </c:pt>
                <c:pt idx="29">
                  <c:v>366.73</c:v>
                </c:pt>
                <c:pt idx="30">
                  <c:v>368.29</c:v>
                </c:pt>
                <c:pt idx="31">
                  <c:v>369.53</c:v>
                </c:pt>
                <c:pt idx="32">
                  <c:v>370.28</c:v>
                </c:pt>
                <c:pt idx="33">
                  <c:v>371.5</c:v>
                </c:pt>
                <c:pt idx="34">
                  <c:v>372.12</c:v>
                </c:pt>
                <c:pt idx="35">
                  <c:v>372.87</c:v>
                </c:pt>
                <c:pt idx="36">
                  <c:v>374.02</c:v>
                </c:pt>
                <c:pt idx="37">
                  <c:v>373.3</c:v>
                </c:pt>
                <c:pt idx="38">
                  <c:v>371.62</c:v>
                </c:pt>
                <c:pt idx="39">
                  <c:v>369.55</c:v>
                </c:pt>
                <c:pt idx="40">
                  <c:v>367.96</c:v>
                </c:pt>
                <c:pt idx="41">
                  <c:v>368.09</c:v>
                </c:pt>
                <c:pt idx="42">
                  <c:v>369.68</c:v>
                </c:pt>
                <c:pt idx="43">
                  <c:v>371.24</c:v>
                </c:pt>
                <c:pt idx="44">
                  <c:v>372.43</c:v>
                </c:pt>
                <c:pt idx="45">
                  <c:v>373.09</c:v>
                </c:pt>
                <c:pt idx="46">
                  <c:v>373.52</c:v>
                </c:pt>
                <c:pt idx="47">
                  <c:v>374.86</c:v>
                </c:pt>
                <c:pt idx="48">
                  <c:v>375.55</c:v>
                </c:pt>
                <c:pt idx="49">
                  <c:v>375.41</c:v>
                </c:pt>
                <c:pt idx="50">
                  <c:v>374.02</c:v>
                </c:pt>
                <c:pt idx="51">
                  <c:v>371.49</c:v>
                </c:pt>
                <c:pt idx="52">
                  <c:v>370.71</c:v>
                </c:pt>
                <c:pt idx="53">
                  <c:v>370.25</c:v>
                </c:pt>
                <c:pt idx="54">
                  <c:v>372.08</c:v>
                </c:pt>
                <c:pt idx="55">
                  <c:v>373.78</c:v>
                </c:pt>
                <c:pt idx="56">
                  <c:v>374.68</c:v>
                </c:pt>
                <c:pt idx="57">
                  <c:v>375.63</c:v>
                </c:pt>
                <c:pt idx="58">
                  <c:v>376.11</c:v>
                </c:pt>
                <c:pt idx="59">
                  <c:v>377.65</c:v>
                </c:pt>
                <c:pt idx="60">
                  <c:v>378.35</c:v>
                </c:pt>
                <c:pt idx="61">
                  <c:v>378.13</c:v>
                </c:pt>
                <c:pt idx="62">
                  <c:v>376.62</c:v>
                </c:pt>
                <c:pt idx="63">
                  <c:v>374.5</c:v>
                </c:pt>
                <c:pt idx="64">
                  <c:v>372.99</c:v>
                </c:pt>
                <c:pt idx="65">
                  <c:v>373</c:v>
                </c:pt>
                <c:pt idx="66">
                  <c:v>374.35</c:v>
                </c:pt>
                <c:pt idx="67">
                  <c:v>375.7</c:v>
                </c:pt>
                <c:pt idx="68">
                  <c:v>376.79</c:v>
                </c:pt>
                <c:pt idx="69">
                  <c:v>377.37</c:v>
                </c:pt>
                <c:pt idx="70">
                  <c:v>378.41</c:v>
                </c:pt>
                <c:pt idx="71">
                  <c:v>380.52</c:v>
                </c:pt>
                <c:pt idx="72">
                  <c:v>380.63</c:v>
                </c:pt>
                <c:pt idx="73">
                  <c:v>379.57</c:v>
                </c:pt>
                <c:pt idx="74">
                  <c:v>377.79</c:v>
                </c:pt>
                <c:pt idx="75">
                  <c:v>375.86</c:v>
                </c:pt>
                <c:pt idx="76">
                  <c:v>374.06</c:v>
                </c:pt>
                <c:pt idx="77">
                  <c:v>374.24</c:v>
                </c:pt>
                <c:pt idx="78">
                  <c:v>375.86</c:v>
                </c:pt>
                <c:pt idx="79">
                  <c:v>377.48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C7-4934-94A0-A9C27F60DE8E}"/>
            </c:ext>
          </c:extLst>
        </c:ser>
        <c:ser>
          <c:idx val="1"/>
          <c:order val="1"/>
          <c:tx>
            <c:strRef>
              <c:f>SARIMA!$C$1</c:f>
              <c:strCache>
                <c:ptCount val="1"/>
                <c:pt idx="0">
                  <c:v>Fit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SARIMA!$C$2:$C$81</c:f>
              <c:numCache>
                <c:formatCode>General</c:formatCode>
                <c:ptCount val="8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370.54746180360559</c:v>
                </c:pt>
                <c:pt idx="14">
                  <c:v>369.21072904908476</c:v>
                </c:pt>
                <c:pt idx="15">
                  <c:v>367.34310341464027</c:v>
                </c:pt>
                <c:pt idx="16">
                  <c:v>365.21514467723796</c:v>
                </c:pt>
                <c:pt idx="17">
                  <c:v>365.22578438923949</c:v>
                </c:pt>
                <c:pt idx="18">
                  <c:v>366.41875050044723</c:v>
                </c:pt>
                <c:pt idx="19">
                  <c:v>368.06029246796658</c:v>
                </c:pt>
                <c:pt idx="20">
                  <c:v>369.20939178306503</c:v>
                </c:pt>
                <c:pt idx="21">
                  <c:v>369.86378095756038</c:v>
                </c:pt>
                <c:pt idx="22">
                  <c:v>370.37948321848</c:v>
                </c:pt>
                <c:pt idx="23">
                  <c:v>371.98197206377341</c:v>
                </c:pt>
                <c:pt idx="24">
                  <c:v>371.64090359760746</c:v>
                </c:pt>
                <c:pt idx="25">
                  <c:v>371.18431517053682</c:v>
                </c:pt>
                <c:pt idx="26">
                  <c:v>370.34392374246261</c:v>
                </c:pt>
                <c:pt idx="27">
                  <c:v>368.04584503870751</c:v>
                </c:pt>
                <c:pt idx="28">
                  <c:v>365.93466928017079</c:v>
                </c:pt>
                <c:pt idx="29">
                  <c:v>366.75652137438158</c:v>
                </c:pt>
                <c:pt idx="30">
                  <c:v>368.18577682875878</c:v>
                </c:pt>
                <c:pt idx="31">
                  <c:v>369.64211204001259</c:v>
                </c:pt>
                <c:pt idx="32">
                  <c:v>370.72305521488818</c:v>
                </c:pt>
                <c:pt idx="33">
                  <c:v>370.93663796351382</c:v>
                </c:pt>
                <c:pt idx="34">
                  <c:v>372.1985497507473</c:v>
                </c:pt>
                <c:pt idx="35">
                  <c:v>373.42900893988281</c:v>
                </c:pt>
                <c:pt idx="36">
                  <c:v>373.17439805263638</c:v>
                </c:pt>
                <c:pt idx="37">
                  <c:v>373.36346784333449</c:v>
                </c:pt>
                <c:pt idx="38">
                  <c:v>371.92030283355899</c:v>
                </c:pt>
                <c:pt idx="39">
                  <c:v>369.68527728486595</c:v>
                </c:pt>
                <c:pt idx="40">
                  <c:v>367.85789103481341</c:v>
                </c:pt>
                <c:pt idx="41">
                  <c:v>368.15162561795228</c:v>
                </c:pt>
                <c:pt idx="42">
                  <c:v>369.63323523759345</c:v>
                </c:pt>
                <c:pt idx="43">
                  <c:v>370.96186508588556</c:v>
                </c:pt>
                <c:pt idx="44">
                  <c:v>372.02295276761743</c:v>
                </c:pt>
                <c:pt idx="45">
                  <c:v>373.1822477554955</c:v>
                </c:pt>
                <c:pt idx="46">
                  <c:v>373.87533871950779</c:v>
                </c:pt>
                <c:pt idx="47">
                  <c:v>374.62848618914086</c:v>
                </c:pt>
                <c:pt idx="48">
                  <c:v>375.48941210970986</c:v>
                </c:pt>
                <c:pt idx="49">
                  <c:v>374.97159935690263</c:v>
                </c:pt>
                <c:pt idx="50">
                  <c:v>373.64702696384512</c:v>
                </c:pt>
                <c:pt idx="51">
                  <c:v>371.79095337000615</c:v>
                </c:pt>
                <c:pt idx="52">
                  <c:v>369.96928783390189</c:v>
                </c:pt>
                <c:pt idx="53">
                  <c:v>370.56058458798253</c:v>
                </c:pt>
                <c:pt idx="54">
                  <c:v>371.94732018389863</c:v>
                </c:pt>
                <c:pt idx="55">
                  <c:v>373.48313781471546</c:v>
                </c:pt>
                <c:pt idx="56">
                  <c:v>374.73068608679762</c:v>
                </c:pt>
                <c:pt idx="57">
                  <c:v>375.46778179942402</c:v>
                </c:pt>
                <c:pt idx="58">
                  <c:v>376.11333311103255</c:v>
                </c:pt>
                <c:pt idx="59">
                  <c:v>377.30240777233325</c:v>
                </c:pt>
                <c:pt idx="60">
                  <c:v>378.20588001321744</c:v>
                </c:pt>
                <c:pt idx="61">
                  <c:v>377.98783962186911</c:v>
                </c:pt>
                <c:pt idx="62">
                  <c:v>376.60812230751282</c:v>
                </c:pt>
                <c:pt idx="63">
                  <c:v>374.26629532814616</c:v>
                </c:pt>
                <c:pt idx="64">
                  <c:v>373.27996696110029</c:v>
                </c:pt>
                <c:pt idx="65">
                  <c:v>372.90330759965815</c:v>
                </c:pt>
                <c:pt idx="66">
                  <c:v>374.6847946052294</c:v>
                </c:pt>
                <c:pt idx="67">
                  <c:v>376.10312666055091</c:v>
                </c:pt>
                <c:pt idx="68">
                  <c:v>376.8460378166294</c:v>
                </c:pt>
                <c:pt idx="69">
                  <c:v>377.69356239061034</c:v>
                </c:pt>
                <c:pt idx="70">
                  <c:v>378.02027451944639</c:v>
                </c:pt>
                <c:pt idx="71">
                  <c:v>379.64584465657549</c:v>
                </c:pt>
                <c:pt idx="72">
                  <c:v>380.84418310969693</c:v>
                </c:pt>
                <c:pt idx="73">
                  <c:v>380.47298316994772</c:v>
                </c:pt>
                <c:pt idx="74">
                  <c:v>378.47247305134931</c:v>
                </c:pt>
                <c:pt idx="75">
                  <c:v>375.87823051790986</c:v>
                </c:pt>
                <c:pt idx="76">
                  <c:v>374.51154067987613</c:v>
                </c:pt>
                <c:pt idx="77">
                  <c:v>374.18030686297152</c:v>
                </c:pt>
                <c:pt idx="78">
                  <c:v>375.71200345406305</c:v>
                </c:pt>
                <c:pt idx="79">
                  <c:v>377.24728621818304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5C7-4934-94A0-A9C27F60DE8E}"/>
            </c:ext>
          </c:extLst>
        </c:ser>
        <c:ser>
          <c:idx val="2"/>
          <c:order val="2"/>
          <c:tx>
            <c:strRef>
              <c:f>SARIMA!$D$1</c:f>
              <c:strCache>
                <c:ptCount val="1"/>
                <c:pt idx="0">
                  <c:v>Forecast</c:v>
                </c:pt>
              </c:strCache>
            </c:strRef>
          </c:tx>
          <c:spPr>
            <a:ln w="28575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SARIMA!$D$2:$D$105</c:f>
              <c:numCache>
                <c:formatCode>General</c:formatCode>
                <c:ptCount val="104"/>
                <c:pt idx="80">
                  <c:v>378.43336059186601</c:v>
                </c:pt>
                <c:pt idx="81">
                  <c:v>379.14390020688217</c:v>
                </c:pt>
                <c:pt idx="82">
                  <c:v>379.97002678903721</c:v>
                </c:pt>
                <c:pt idx="83">
                  <c:v>381.80077841041538</c:v>
                </c:pt>
                <c:pt idx="84">
                  <c:v>382.16338969501862</c:v>
                </c:pt>
                <c:pt idx="85">
                  <c:v>381.41426042016826</c:v>
                </c:pt>
                <c:pt idx="86">
                  <c:v>379.74410751209365</c:v>
                </c:pt>
                <c:pt idx="87">
                  <c:v>377.70414032221782</c:v>
                </c:pt>
                <c:pt idx="88">
                  <c:v>376.08623082552401</c:v>
                </c:pt>
                <c:pt idx="89">
                  <c:v>376.16165934026668</c:v>
                </c:pt>
                <c:pt idx="90">
                  <c:v>377.73761131407139</c:v>
                </c:pt>
                <c:pt idx="91">
                  <c:v>379.29927991825355</c:v>
                </c:pt>
                <c:pt idx="92">
                  <c:v>380.29012633850311</c:v>
                </c:pt>
                <c:pt idx="93">
                  <c:v>381.00171072963866</c:v>
                </c:pt>
                <c:pt idx="94">
                  <c:v>381.82888208791309</c:v>
                </c:pt>
                <c:pt idx="95">
                  <c:v>383.66067848541059</c:v>
                </c:pt>
                <c:pt idx="96">
                  <c:v>384.02433454613316</c:v>
                </c:pt>
                <c:pt idx="97">
                  <c:v>383.27625004740207</c:v>
                </c:pt>
                <c:pt idx="98">
                  <c:v>381.60714191544673</c:v>
                </c:pt>
                <c:pt idx="99">
                  <c:v>379.56821950169029</c:v>
                </c:pt>
                <c:pt idx="100">
                  <c:v>377.95135478111575</c:v>
                </c:pt>
                <c:pt idx="101">
                  <c:v>378.02782807197775</c:v>
                </c:pt>
                <c:pt idx="102">
                  <c:v>379.60482482190179</c:v>
                </c:pt>
                <c:pt idx="103">
                  <c:v>381.16753820220322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5C7-4934-94A0-A9C27F60DE8E}"/>
            </c:ext>
          </c:extLst>
        </c:ser>
        <c:ser>
          <c:idx val="4"/>
          <c:order val="3"/>
          <c:tx>
            <c:strRef>
              <c:f>SARIMA!$E$1</c:f>
              <c:strCache>
                <c:ptCount val="1"/>
                <c:pt idx="0">
                  <c:v>CI+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SARIMA!$E$2:$E$105</c:f>
              <c:numCache>
                <c:formatCode>General</c:formatCode>
                <c:ptCount val="104"/>
                <c:pt idx="80">
                  <c:v>379.12959289343092</c:v>
                </c:pt>
                <c:pt idx="81">
                  <c:v>379.94387606016591</c:v>
                </c:pt>
                <c:pt idx="82">
                  <c:v>380.86175730546677</c:v>
                </c:pt>
                <c:pt idx="83">
                  <c:v>382.77566571776242</c:v>
                </c:pt>
                <c:pt idx="84">
                  <c:v>383.21487778820892</c:v>
                </c:pt>
                <c:pt idx="85">
                  <c:v>382.53713581762588</c:v>
                </c:pt>
                <c:pt idx="86">
                  <c:v>380.93409537182595</c:v>
                </c:pt>
                <c:pt idx="87">
                  <c:v>378.95765260951498</c:v>
                </c:pt>
                <c:pt idx="88">
                  <c:v>377.40020000419582</c:v>
                </c:pt>
                <c:pt idx="89">
                  <c:v>377.53342351482229</c:v>
                </c:pt>
                <c:pt idx="90">
                  <c:v>379.16483200432526</c:v>
                </c:pt>
                <c:pt idx="91">
                  <c:v>380.77988143344373</c:v>
                </c:pt>
                <c:pt idx="92">
                  <c:v>381.98205308546432</c:v>
                </c:pt>
                <c:pt idx="93">
                  <c:v>382.80865597026616</c:v>
                </c:pt>
                <c:pt idx="94">
                  <c:v>383.74395025593475</c:v>
                </c:pt>
                <c:pt idx="95">
                  <c:v>385.67808302434509</c:v>
                </c:pt>
                <c:pt idx="96">
                  <c:v>386.13912911281267</c:v>
                </c:pt>
                <c:pt idx="97">
                  <c:v>385.48414294444228</c:v>
                </c:pt>
                <c:pt idx="98">
                  <c:v>383.90436328709211</c:v>
                </c:pt>
                <c:pt idx="99">
                  <c:v>381.95142344090488</c:v>
                </c:pt>
                <c:pt idx="100">
                  <c:v>380.41754536609318</c:v>
                </c:pt>
                <c:pt idx="101">
                  <c:v>380.57430229862427</c:v>
                </c:pt>
                <c:pt idx="102">
                  <c:v>382.22912777173792</c:v>
                </c:pt>
                <c:pt idx="103">
                  <c:v>383.86742726623197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5C7-4934-94A0-A9C27F60DE8E}"/>
            </c:ext>
          </c:extLst>
        </c:ser>
        <c:ser>
          <c:idx val="5"/>
          <c:order val="4"/>
          <c:tx>
            <c:strRef>
              <c:f>SARIMA!$F$1</c:f>
              <c:strCache>
                <c:ptCount val="1"/>
                <c:pt idx="0">
                  <c:v>CI-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SARIMA!$F$2:$F$105</c:f>
              <c:numCache>
                <c:formatCode>General</c:formatCode>
                <c:ptCount val="104"/>
                <c:pt idx="80">
                  <c:v>377.73712829030109</c:v>
                </c:pt>
                <c:pt idx="81">
                  <c:v>378.34392435359842</c:v>
                </c:pt>
                <c:pt idx="82">
                  <c:v>379.07829627260764</c:v>
                </c:pt>
                <c:pt idx="83">
                  <c:v>380.82589110306833</c:v>
                </c:pt>
                <c:pt idx="84">
                  <c:v>381.11190160182832</c:v>
                </c:pt>
                <c:pt idx="85">
                  <c:v>380.29138502271064</c:v>
                </c:pt>
                <c:pt idx="86">
                  <c:v>378.55411965236135</c:v>
                </c:pt>
                <c:pt idx="87">
                  <c:v>376.45062803492067</c:v>
                </c:pt>
                <c:pt idx="88">
                  <c:v>374.7722616468522</c:v>
                </c:pt>
                <c:pt idx="89">
                  <c:v>374.78989516571107</c:v>
                </c:pt>
                <c:pt idx="90">
                  <c:v>376.31039062381751</c:v>
                </c:pt>
                <c:pt idx="91">
                  <c:v>377.81867840306336</c:v>
                </c:pt>
                <c:pt idx="92">
                  <c:v>378.59819959154191</c:v>
                </c:pt>
                <c:pt idx="93">
                  <c:v>379.19476548901116</c:v>
                </c:pt>
                <c:pt idx="94">
                  <c:v>379.91381391989142</c:v>
                </c:pt>
                <c:pt idx="95">
                  <c:v>381.64327394647609</c:v>
                </c:pt>
                <c:pt idx="96">
                  <c:v>381.90953997945365</c:v>
                </c:pt>
                <c:pt idx="97">
                  <c:v>381.06835715036186</c:v>
                </c:pt>
                <c:pt idx="98">
                  <c:v>379.30992054380135</c:v>
                </c:pt>
                <c:pt idx="99">
                  <c:v>377.18501556247571</c:v>
                </c:pt>
                <c:pt idx="100">
                  <c:v>375.48516419613833</c:v>
                </c:pt>
                <c:pt idx="101">
                  <c:v>375.48135384533123</c:v>
                </c:pt>
                <c:pt idx="102">
                  <c:v>376.98052187206565</c:v>
                </c:pt>
                <c:pt idx="103">
                  <c:v>378.46764913817447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5C7-4934-94A0-A9C27F60DE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50372936"/>
        <c:axId val="650371624"/>
      </c:lineChart>
      <c:catAx>
        <c:axId val="65037293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0371624"/>
        <c:crosses val="autoZero"/>
        <c:auto val="1"/>
        <c:lblAlgn val="ctr"/>
        <c:lblOffset val="100"/>
        <c:noMultiLvlLbl val="0"/>
      </c:catAx>
      <c:valAx>
        <c:axId val="650371624"/>
        <c:scaling>
          <c:orientation val="minMax"/>
          <c:max val="387"/>
          <c:min val="36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0372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ACF Data Set y</a:t>
            </a:r>
            <a:r>
              <a:rPr lang="en-US" baseline="-25000"/>
              <a:t>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RESID!$D$1</c:f>
              <c:strCache>
                <c:ptCount val="1"/>
                <c:pt idx="0">
                  <c:v>ACF et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RESID!$D$2:$D$21</c:f>
              <c:numCache>
                <c:formatCode>0.000</c:formatCode>
                <c:ptCount val="20"/>
                <c:pt idx="0">
                  <c:v>3.4401137447588183E-3</c:v>
                </c:pt>
                <c:pt idx="1">
                  <c:v>-0.12483437979434127</c:v>
                </c:pt>
                <c:pt idx="2">
                  <c:v>0.10212717088559109</c:v>
                </c:pt>
                <c:pt idx="3">
                  <c:v>-0.16419083373533272</c:v>
                </c:pt>
                <c:pt idx="4">
                  <c:v>5.210432594659882E-4</c:v>
                </c:pt>
                <c:pt idx="5">
                  <c:v>3.4374751922011129E-2</c:v>
                </c:pt>
                <c:pt idx="6">
                  <c:v>3.75745097693354E-2</c:v>
                </c:pt>
                <c:pt idx="7">
                  <c:v>0.21864356286394926</c:v>
                </c:pt>
                <c:pt idx="8">
                  <c:v>-8.8167067389188329E-3</c:v>
                </c:pt>
                <c:pt idx="9">
                  <c:v>-9.0948204431455959E-2</c:v>
                </c:pt>
                <c:pt idx="10">
                  <c:v>0.12502467450407026</c:v>
                </c:pt>
                <c:pt idx="11">
                  <c:v>-9.87103679344742E-2</c:v>
                </c:pt>
                <c:pt idx="12">
                  <c:v>-0.10254084960923154</c:v>
                </c:pt>
                <c:pt idx="13">
                  <c:v>-3.177373758566511E-2</c:v>
                </c:pt>
                <c:pt idx="14">
                  <c:v>-0.11037633926476746</c:v>
                </c:pt>
                <c:pt idx="15">
                  <c:v>0.21495385190456487</c:v>
                </c:pt>
                <c:pt idx="16">
                  <c:v>-0.22580259785951448</c:v>
                </c:pt>
                <c:pt idx="17">
                  <c:v>-4.1883939616416198E-2</c:v>
                </c:pt>
                <c:pt idx="18">
                  <c:v>0.19326709775123418</c:v>
                </c:pt>
                <c:pt idx="19">
                  <c:v>-0.14943339487510282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BC-4B8F-955A-DF911C7139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2885304"/>
        <c:axId val="702887928"/>
      </c:barChart>
      <c:lineChart>
        <c:grouping val="standard"/>
        <c:varyColors val="0"/>
        <c:ser>
          <c:idx val="1"/>
          <c:order val="1"/>
          <c:tx>
            <c:strRef>
              <c:f>RESID!$F$1</c:f>
              <c:strCache>
                <c:ptCount val="1"/>
                <c:pt idx="0">
                  <c:v>-CI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RESID!$F$2:$F$21</c:f>
              <c:numCache>
                <c:formatCode>0.000</c:formatCode>
                <c:ptCount val="20"/>
                <c:pt idx="0">
                  <c:v>-0.23945494468948017</c:v>
                </c:pt>
                <c:pt idx="1">
                  <c:v>-0.24315780188537614</c:v>
                </c:pt>
                <c:pt idx="2">
                  <c:v>-0.24560490279730207</c:v>
                </c:pt>
                <c:pt idx="3">
                  <c:v>-0.25181985446084471</c:v>
                </c:pt>
                <c:pt idx="4">
                  <c:v>-0.25181991627598821</c:v>
                </c:pt>
                <c:pt idx="5">
                  <c:v>-0.25208881862390625</c:v>
                </c:pt>
                <c:pt idx="6">
                  <c:v>-0.25240973660769528</c:v>
                </c:pt>
                <c:pt idx="7">
                  <c:v>-0.26304504660062389</c:v>
                </c:pt>
                <c:pt idx="8">
                  <c:v>-0.26306199021334042</c:v>
                </c:pt>
                <c:pt idx="9">
                  <c:v>-0.26485873701598145</c:v>
                </c:pt>
                <c:pt idx="10">
                  <c:v>-0.26822126886803982</c:v>
                </c:pt>
                <c:pt idx="11">
                  <c:v>-0.27029614952466702</c:v>
                </c:pt>
                <c:pt idx="12">
                  <c:v>-0.27251746594031884</c:v>
                </c:pt>
                <c:pt idx="13">
                  <c:v>-0.27272979549632287</c:v>
                </c:pt>
                <c:pt idx="14">
                  <c:v>-0.27527915835075173</c:v>
                </c:pt>
                <c:pt idx="15">
                  <c:v>-0.28474053860780307</c:v>
                </c:pt>
                <c:pt idx="16">
                  <c:v>-0.29482887936132307</c:v>
                </c:pt>
                <c:pt idx="17">
                  <c:v>-0.29516984554776948</c:v>
                </c:pt>
                <c:pt idx="18">
                  <c:v>-0.3023385254993719</c:v>
                </c:pt>
                <c:pt idx="19">
                  <c:v>-0.30654413605797065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CBC-4B8F-955A-DF911C71390E}"/>
            </c:ext>
          </c:extLst>
        </c:ser>
        <c:ser>
          <c:idx val="2"/>
          <c:order val="2"/>
          <c:tx>
            <c:strRef>
              <c:f>RESID!$G$1</c:f>
              <c:strCache>
                <c:ptCount val="1"/>
                <c:pt idx="0">
                  <c:v>+CI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RESID!$G$2:$G$21</c:f>
              <c:numCache>
                <c:formatCode>0.000</c:formatCode>
                <c:ptCount val="20"/>
                <c:pt idx="0">
                  <c:v>0.23945494468948017</c:v>
                </c:pt>
                <c:pt idx="1">
                  <c:v>0.24315780188537614</c:v>
                </c:pt>
                <c:pt idx="2">
                  <c:v>0.24560490279730207</c:v>
                </c:pt>
                <c:pt idx="3">
                  <c:v>0.25181985446084471</c:v>
                </c:pt>
                <c:pt idx="4">
                  <c:v>0.25181991627598821</c:v>
                </c:pt>
                <c:pt idx="5">
                  <c:v>0.25208881862390625</c:v>
                </c:pt>
                <c:pt idx="6">
                  <c:v>0.25240973660769528</c:v>
                </c:pt>
                <c:pt idx="7">
                  <c:v>0.26304504660062389</c:v>
                </c:pt>
                <c:pt idx="8">
                  <c:v>0.26306199021334042</c:v>
                </c:pt>
                <c:pt idx="9">
                  <c:v>0.26485873701598145</c:v>
                </c:pt>
                <c:pt idx="10">
                  <c:v>0.26822126886803982</c:v>
                </c:pt>
                <c:pt idx="11">
                  <c:v>0.27029614952466702</c:v>
                </c:pt>
                <c:pt idx="12">
                  <c:v>0.27251746594031884</c:v>
                </c:pt>
                <c:pt idx="13">
                  <c:v>0.27272979549632287</c:v>
                </c:pt>
                <c:pt idx="14">
                  <c:v>0.27527915835075173</c:v>
                </c:pt>
                <c:pt idx="15">
                  <c:v>0.28474053860780307</c:v>
                </c:pt>
                <c:pt idx="16">
                  <c:v>0.29482887936132307</c:v>
                </c:pt>
                <c:pt idx="17">
                  <c:v>0.29516984554776948</c:v>
                </c:pt>
                <c:pt idx="18">
                  <c:v>0.3023385254993719</c:v>
                </c:pt>
                <c:pt idx="19">
                  <c:v>0.30654413605797065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CBC-4B8F-955A-DF911C7139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2885304"/>
        <c:axId val="702887928"/>
      </c:lineChart>
      <c:catAx>
        <c:axId val="7028853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2887928"/>
        <c:crosses val="autoZero"/>
        <c:auto val="1"/>
        <c:lblAlgn val="ctr"/>
        <c:lblOffset val="100"/>
        <c:noMultiLvlLbl val="0"/>
      </c:catAx>
      <c:valAx>
        <c:axId val="702887928"/>
        <c:scaling>
          <c:orientation val="minMax"/>
          <c:max val="1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2885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PACF Data Set y</a:t>
            </a:r>
            <a:r>
              <a:rPr lang="en-US" baseline="-25000"/>
              <a:t>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RESID!$I$1</c:f>
              <c:strCache>
                <c:ptCount val="1"/>
                <c:pt idx="0">
                  <c:v>PACF et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RESID!$I$2:$I$21</c:f>
              <c:numCache>
                <c:formatCode>0.000</c:formatCode>
                <c:ptCount val="20"/>
                <c:pt idx="0">
                  <c:v>3.4401137447588183E-3</c:v>
                </c:pt>
                <c:pt idx="1">
                  <c:v>-0.12484769167226524</c:v>
                </c:pt>
                <c:pt idx="2">
                  <c:v>0.10467246424766678</c:v>
                </c:pt>
                <c:pt idx="3">
                  <c:v>-0.18684632418769501</c:v>
                </c:pt>
                <c:pt idx="4">
                  <c:v>3.8099864805842584E-2</c:v>
                </c:pt>
                <c:pt idx="5">
                  <c:v>-2.765913160047552E-2</c:v>
                </c:pt>
                <c:pt idx="6">
                  <c:v>8.5254861612260105E-2</c:v>
                </c:pt>
                <c:pt idx="7">
                  <c:v>0.1928683736578834</c:v>
                </c:pt>
                <c:pt idx="8">
                  <c:v>-5.2854979545189555E-4</c:v>
                </c:pt>
                <c:pt idx="9">
                  <c:v>-4.4075232314987216E-2</c:v>
                </c:pt>
                <c:pt idx="10">
                  <c:v>0.11039428087832408</c:v>
                </c:pt>
                <c:pt idx="11">
                  <c:v>-6.615709814970204E-2</c:v>
                </c:pt>
                <c:pt idx="12">
                  <c:v>-6.6081961204992212E-2</c:v>
                </c:pt>
                <c:pt idx="13">
                  <c:v>-0.11837266405452009</c:v>
                </c:pt>
                <c:pt idx="14">
                  <c:v>-0.11558496663716065</c:v>
                </c:pt>
                <c:pt idx="15">
                  <c:v>0.17784542067109665</c:v>
                </c:pt>
                <c:pt idx="16">
                  <c:v>-0.32774297136490105</c:v>
                </c:pt>
                <c:pt idx="17">
                  <c:v>8.9027909743961908E-2</c:v>
                </c:pt>
                <c:pt idx="18">
                  <c:v>1.4925412033990075E-2</c:v>
                </c:pt>
                <c:pt idx="19">
                  <c:v>-1.0727697013399198E-2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F1-4F2C-A1AE-79C3276003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2885304"/>
        <c:axId val="702887928"/>
      </c:barChart>
      <c:lineChart>
        <c:grouping val="standard"/>
        <c:varyColors val="0"/>
        <c:ser>
          <c:idx val="1"/>
          <c:order val="1"/>
          <c:tx>
            <c:strRef>
              <c:f>ACF_PACF!$S$1</c:f>
              <c:strCache>
                <c:ptCount val="1"/>
                <c:pt idx="0">
                  <c:v>-CI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ACF_PACF!$S$2:$S$21</c:f>
              <c:numCache>
                <c:formatCode>General</c:formatCode>
                <c:ptCount val="20"/>
                <c:pt idx="0">
                  <c:v>-0.21913466179497937</c:v>
                </c:pt>
                <c:pt idx="1">
                  <c:v>-0.21913466179497937</c:v>
                </c:pt>
                <c:pt idx="2">
                  <c:v>-0.21913466179497937</c:v>
                </c:pt>
                <c:pt idx="3">
                  <c:v>-0.21913466179497937</c:v>
                </c:pt>
                <c:pt idx="4">
                  <c:v>-0.21913466179497937</c:v>
                </c:pt>
                <c:pt idx="5">
                  <c:v>-0.21913466179497937</c:v>
                </c:pt>
                <c:pt idx="6">
                  <c:v>-0.21913466179497937</c:v>
                </c:pt>
                <c:pt idx="7">
                  <c:v>-0.21913466179497937</c:v>
                </c:pt>
                <c:pt idx="8">
                  <c:v>-0.21913466179497937</c:v>
                </c:pt>
                <c:pt idx="9">
                  <c:v>-0.21913466179497937</c:v>
                </c:pt>
                <c:pt idx="10">
                  <c:v>-0.21913466179497937</c:v>
                </c:pt>
                <c:pt idx="11">
                  <c:v>-0.21913466179497937</c:v>
                </c:pt>
                <c:pt idx="12">
                  <c:v>-0.21913466179497937</c:v>
                </c:pt>
                <c:pt idx="13">
                  <c:v>-0.21913466179497937</c:v>
                </c:pt>
                <c:pt idx="14">
                  <c:v>-0.21913466179497937</c:v>
                </c:pt>
                <c:pt idx="15">
                  <c:v>-0.21913466179497937</c:v>
                </c:pt>
                <c:pt idx="16">
                  <c:v>-0.21913466179497937</c:v>
                </c:pt>
                <c:pt idx="17">
                  <c:v>-0.21913466179497937</c:v>
                </c:pt>
                <c:pt idx="18">
                  <c:v>-0.21913466179497937</c:v>
                </c:pt>
                <c:pt idx="19">
                  <c:v>-0.21913466179497937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F1-4F2C-A1AE-79C32760035B}"/>
            </c:ext>
          </c:extLst>
        </c:ser>
        <c:ser>
          <c:idx val="2"/>
          <c:order val="2"/>
          <c:tx>
            <c:strRef>
              <c:f>RESID!$L$1</c:f>
              <c:strCache>
                <c:ptCount val="1"/>
                <c:pt idx="0">
                  <c:v>+CI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RESID!$L$2:$L$21</c:f>
              <c:numCache>
                <c:formatCode>General</c:formatCode>
                <c:ptCount val="20"/>
                <c:pt idx="0">
                  <c:v>0.23945211093835822</c:v>
                </c:pt>
                <c:pt idx="1">
                  <c:v>0.23945211093835822</c:v>
                </c:pt>
                <c:pt idx="2">
                  <c:v>0.23945211093835822</c:v>
                </c:pt>
                <c:pt idx="3">
                  <c:v>0.23945211093835822</c:v>
                </c:pt>
                <c:pt idx="4">
                  <c:v>0.23945211093835822</c:v>
                </c:pt>
                <c:pt idx="5">
                  <c:v>0.23945211093835822</c:v>
                </c:pt>
                <c:pt idx="6">
                  <c:v>0.23945211093835822</c:v>
                </c:pt>
                <c:pt idx="7">
                  <c:v>0.23945211093835822</c:v>
                </c:pt>
                <c:pt idx="8">
                  <c:v>0.23945211093835822</c:v>
                </c:pt>
                <c:pt idx="9">
                  <c:v>0.23945211093835822</c:v>
                </c:pt>
                <c:pt idx="10">
                  <c:v>0.23945211093835822</c:v>
                </c:pt>
                <c:pt idx="11">
                  <c:v>0.23945211093835822</c:v>
                </c:pt>
                <c:pt idx="12">
                  <c:v>0.23945211093835822</c:v>
                </c:pt>
                <c:pt idx="13">
                  <c:v>0.23945211093835822</c:v>
                </c:pt>
                <c:pt idx="14">
                  <c:v>0.23945211093835822</c:v>
                </c:pt>
                <c:pt idx="15">
                  <c:v>0.23945211093835822</c:v>
                </c:pt>
                <c:pt idx="16">
                  <c:v>0.23945211093835822</c:v>
                </c:pt>
                <c:pt idx="17">
                  <c:v>0.23945211093835822</c:v>
                </c:pt>
                <c:pt idx="18">
                  <c:v>0.23945211093835822</c:v>
                </c:pt>
                <c:pt idx="19">
                  <c:v>0.23945211093835822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F1-4F2C-A1AE-79C3276003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2885304"/>
        <c:axId val="702887928"/>
      </c:lineChart>
      <c:catAx>
        <c:axId val="7028853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2887928"/>
        <c:crosses val="autoZero"/>
        <c:auto val="1"/>
        <c:lblAlgn val="ctr"/>
        <c:lblOffset val="100"/>
        <c:noMultiLvlLbl val="0"/>
      </c:catAx>
      <c:valAx>
        <c:axId val="702887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2885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RESID!$B$1</c:f>
              <c:strCache>
                <c:ptCount val="1"/>
                <c:pt idx="0">
                  <c:v>et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RESID!$B$2:$B$68</c:f>
              <c:numCache>
                <c:formatCode>General</c:formatCode>
                <c:ptCount val="67"/>
                <c:pt idx="0">
                  <c:v>-0.19746180360556309</c:v>
                </c:pt>
                <c:pt idx="1">
                  <c:v>5.9270950915220055E-2</c:v>
                </c:pt>
                <c:pt idx="2">
                  <c:v>-0.40310341464027033</c:v>
                </c:pt>
                <c:pt idx="3">
                  <c:v>-0.58514467723796315</c:v>
                </c:pt>
                <c:pt idx="4">
                  <c:v>-0.10578438923948852</c:v>
                </c:pt>
                <c:pt idx="5">
                  <c:v>0.25124949955278453</c:v>
                </c:pt>
                <c:pt idx="6">
                  <c:v>-5.0292467966585264E-2</c:v>
                </c:pt>
                <c:pt idx="7">
                  <c:v>-6.9391783065043455E-2</c:v>
                </c:pt>
                <c:pt idx="8">
                  <c:v>-0.40378095756040011</c:v>
                </c:pt>
                <c:pt idx="9">
                  <c:v>0.14051678151997749</c:v>
                </c:pt>
                <c:pt idx="10">
                  <c:v>-0.32197206377338716</c:v>
                </c:pt>
                <c:pt idx="11">
                  <c:v>0.17909640239253122</c:v>
                </c:pt>
                <c:pt idx="12">
                  <c:v>0.51568482946316863</c:v>
                </c:pt>
                <c:pt idx="13">
                  <c:v>-0.2239237424626026</c:v>
                </c:pt>
                <c:pt idx="14">
                  <c:v>7.4154961292492771E-2</c:v>
                </c:pt>
                <c:pt idx="15">
                  <c:v>0.68533071982921001</c:v>
                </c:pt>
                <c:pt idx="16">
                  <c:v>-2.6521374381559326E-2</c:v>
                </c:pt>
                <c:pt idx="17">
                  <c:v>0.10422317124124447</c:v>
                </c:pt>
                <c:pt idx="18">
                  <c:v>-0.11211204001261876</c:v>
                </c:pt>
                <c:pt idx="19">
                  <c:v>-0.44305521488820432</c:v>
                </c:pt>
                <c:pt idx="20">
                  <c:v>0.56336203648618266</c:v>
                </c:pt>
                <c:pt idx="21">
                  <c:v>-7.854975074729964E-2</c:v>
                </c:pt>
                <c:pt idx="22">
                  <c:v>-0.55900893988280131</c:v>
                </c:pt>
                <c:pt idx="23">
                  <c:v>0.84560194736360472</c:v>
                </c:pt>
                <c:pt idx="24">
                  <c:v>-6.3467843334478857E-2</c:v>
                </c:pt>
                <c:pt idx="25">
                  <c:v>-0.30030283355898746</c:v>
                </c:pt>
                <c:pt idx="26">
                  <c:v>-0.1352772848659356</c:v>
                </c:pt>
                <c:pt idx="27">
                  <c:v>0.10210896518657364</c:v>
                </c:pt>
                <c:pt idx="28">
                  <c:v>-6.1625617952302036E-2</c:v>
                </c:pt>
                <c:pt idx="29">
                  <c:v>4.6764762406553473E-2</c:v>
                </c:pt>
                <c:pt idx="30">
                  <c:v>0.27813491411444602</c:v>
                </c:pt>
                <c:pt idx="31">
                  <c:v>0.40704723238258111</c:v>
                </c:pt>
                <c:pt idx="32">
                  <c:v>-9.2247755495520778E-2</c:v>
                </c:pt>
                <c:pt idx="33">
                  <c:v>-0.35533871950781304</c:v>
                </c:pt>
                <c:pt idx="34">
                  <c:v>0.23151381085915546</c:v>
                </c:pt>
                <c:pt idx="35">
                  <c:v>6.0587890290150881E-2</c:v>
                </c:pt>
                <c:pt idx="36">
                  <c:v>0.43840064309739546</c:v>
                </c:pt>
                <c:pt idx="37">
                  <c:v>0.37297303615486044</c:v>
                </c:pt>
                <c:pt idx="38">
                  <c:v>-0.30095337000614109</c:v>
                </c:pt>
                <c:pt idx="39">
                  <c:v>0.74071216609809198</c:v>
                </c:pt>
                <c:pt idx="40">
                  <c:v>-0.31058458798253241</c:v>
                </c:pt>
                <c:pt idx="41">
                  <c:v>0.13267981610135848</c:v>
                </c:pt>
                <c:pt idx="42">
                  <c:v>0.29686218528451036</c:v>
                </c:pt>
                <c:pt idx="43">
                  <c:v>-5.0686086797611551E-2</c:v>
                </c:pt>
                <c:pt idx="44">
                  <c:v>0.16221820057597824</c:v>
                </c:pt>
                <c:pt idx="45">
                  <c:v>-3.3331110325320878E-3</c:v>
                </c:pt>
                <c:pt idx="46">
                  <c:v>0.34759222766672337</c:v>
                </c:pt>
                <c:pt idx="47">
                  <c:v>0.14411998678258442</c:v>
                </c:pt>
                <c:pt idx="48">
                  <c:v>0.14216037813088178</c:v>
                </c:pt>
                <c:pt idx="49">
                  <c:v>1.1877692487189506E-2</c:v>
                </c:pt>
                <c:pt idx="50">
                  <c:v>0.23370467185384314</c:v>
                </c:pt>
                <c:pt idx="51">
                  <c:v>-0.28996696110027642</c:v>
                </c:pt>
                <c:pt idx="52">
                  <c:v>9.6692400341851226E-2</c:v>
                </c:pt>
                <c:pt idx="53">
                  <c:v>-0.33479460522937643</c:v>
                </c:pt>
                <c:pt idx="54">
                  <c:v>-0.4031266605509245</c:v>
                </c:pt>
                <c:pt idx="55">
                  <c:v>-5.6037816629384452E-2</c:v>
                </c:pt>
                <c:pt idx="56">
                  <c:v>-0.32356239061033421</c:v>
                </c:pt>
                <c:pt idx="57">
                  <c:v>0.38972548055363632</c:v>
                </c:pt>
                <c:pt idx="58">
                  <c:v>0.87415534342449064</c:v>
                </c:pt>
                <c:pt idx="59">
                  <c:v>-0.21418310969693266</c:v>
                </c:pt>
                <c:pt idx="60">
                  <c:v>-0.90298316994773131</c:v>
                </c:pt>
                <c:pt idx="61">
                  <c:v>-0.68247305134929093</c:v>
                </c:pt>
                <c:pt idx="62">
                  <c:v>-1.8230517909842092E-2</c:v>
                </c:pt>
                <c:pt idx="63">
                  <c:v>-0.45154067987613189</c:v>
                </c:pt>
                <c:pt idx="64">
                  <c:v>5.9693137028489218E-2</c:v>
                </c:pt>
                <c:pt idx="65">
                  <c:v>0.14799654593696232</c:v>
                </c:pt>
                <c:pt idx="66">
                  <c:v>0.2327137818169831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7C-412C-8536-AF4153919E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1717368"/>
        <c:axId val="701720648"/>
      </c:lineChart>
      <c:catAx>
        <c:axId val="70171736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1720648"/>
        <c:crosses val="autoZero"/>
        <c:auto val="1"/>
        <c:lblAlgn val="ctr"/>
        <c:lblOffset val="100"/>
        <c:noMultiLvlLbl val="0"/>
      </c:catAx>
      <c:valAx>
        <c:axId val="701720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1717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</xdr:colOff>
      <xdr:row>22</xdr:row>
      <xdr:rowOff>15240</xdr:rowOff>
    </xdr:from>
    <xdr:to>
      <xdr:col>9</xdr:col>
      <xdr:colOff>19050</xdr:colOff>
      <xdr:row>32</xdr:row>
      <xdr:rowOff>129540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DFAAFE0-EDDB-4D7D-92A8-5D4B35C9FB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22860</xdr:colOff>
      <xdr:row>22</xdr:row>
      <xdr:rowOff>38100</xdr:rowOff>
    </xdr:from>
    <xdr:to>
      <xdr:col>16</xdr:col>
      <xdr:colOff>205740</xdr:colOff>
      <xdr:row>32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76E3578-DED2-42FB-BEE8-09779C1EDF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65193</xdr:colOff>
      <xdr:row>33</xdr:row>
      <xdr:rowOff>30480</xdr:rowOff>
    </xdr:from>
    <xdr:to>
      <xdr:col>8</xdr:col>
      <xdr:colOff>579120</xdr:colOff>
      <xdr:row>44</xdr:row>
      <xdr:rowOff>106680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67A3C00-3BF1-4155-885C-82E91ACCDE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27093</xdr:colOff>
      <xdr:row>33</xdr:row>
      <xdr:rowOff>68580</xdr:rowOff>
    </xdr:from>
    <xdr:to>
      <xdr:col>16</xdr:col>
      <xdr:colOff>208280</xdr:colOff>
      <xdr:row>44</xdr:row>
      <xdr:rowOff>15240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54A4ADB-9544-4546-86E0-66216B3F26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403860</xdr:colOff>
      <xdr:row>9</xdr:row>
      <xdr:rowOff>99060</xdr:rowOff>
    </xdr:from>
    <xdr:to>
      <xdr:col>17</xdr:col>
      <xdr:colOff>99060</xdr:colOff>
      <xdr:row>24</xdr:row>
      <xdr:rowOff>83820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531C77A-FCDC-4807-BFA0-7D265D68423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</xdr:colOff>
      <xdr:row>22</xdr:row>
      <xdr:rowOff>15240</xdr:rowOff>
    </xdr:from>
    <xdr:to>
      <xdr:col>8</xdr:col>
      <xdr:colOff>594360</xdr:colOff>
      <xdr:row>32</xdr:row>
      <xdr:rowOff>129540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DF1CB5A-52C5-4229-8BE9-B431658EEF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65193</xdr:colOff>
      <xdr:row>33</xdr:row>
      <xdr:rowOff>30480</xdr:rowOff>
    </xdr:from>
    <xdr:to>
      <xdr:col>8</xdr:col>
      <xdr:colOff>588702</xdr:colOff>
      <xdr:row>44</xdr:row>
      <xdr:rowOff>106680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D5816AB-B867-4AF2-AFB3-B8660BF352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190500</xdr:colOff>
      <xdr:row>23</xdr:row>
      <xdr:rowOff>137160</xdr:rowOff>
    </xdr:from>
    <xdr:to>
      <xdr:col>16</xdr:col>
      <xdr:colOff>495300</xdr:colOff>
      <xdr:row>38</xdr:row>
      <xdr:rowOff>137160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F6396B90-B2A2-401D-AF70-F5E6321953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81"/>
  <sheetViews>
    <sheetView tabSelected="1" workbookViewId="0">
      <selection activeCell="H1" sqref="H1"/>
    </sheetView>
  </sheetViews>
  <sheetFormatPr defaultRowHeight="14.4" x14ac:dyDescent="0.3"/>
  <cols>
    <col min="1" max="1" width="7.33203125" customWidth="1"/>
    <col min="4" max="4" width="10.88671875" customWidth="1"/>
    <col min="8" max="8" width="6" customWidth="1"/>
    <col min="12" max="12" width="10.88671875" customWidth="1"/>
    <col min="22" max="22" width="10.6640625" customWidth="1"/>
  </cols>
  <sheetData>
    <row r="1" spans="1:51" ht="15.6" x14ac:dyDescent="0.35">
      <c r="A1" s="15" t="s">
        <v>29</v>
      </c>
      <c r="B1" s="16" t="s">
        <v>30</v>
      </c>
      <c r="C1" s="16" t="s">
        <v>31</v>
      </c>
      <c r="D1" s="17" t="s">
        <v>32</v>
      </c>
      <c r="E1" s="18" t="s">
        <v>33</v>
      </c>
      <c r="F1" s="19" t="s">
        <v>34</v>
      </c>
      <c r="G1" s="19" t="s">
        <v>35</v>
      </c>
      <c r="H1" s="20"/>
      <c r="I1" s="21" t="s">
        <v>36</v>
      </c>
      <c r="J1" s="22" t="s">
        <v>37</v>
      </c>
      <c r="K1" s="22" t="s">
        <v>31</v>
      </c>
      <c r="L1" s="23" t="s">
        <v>38</v>
      </c>
      <c r="M1" s="24" t="s">
        <v>33</v>
      </c>
      <c r="N1" s="21" t="s">
        <v>34</v>
      </c>
      <c r="O1" s="21" t="s">
        <v>35</v>
      </c>
      <c r="Q1" s="17" t="s">
        <v>39</v>
      </c>
      <c r="R1" s="18" t="s">
        <v>33</v>
      </c>
      <c r="S1" s="19" t="s">
        <v>34</v>
      </c>
      <c r="T1" s="19" t="s">
        <v>35</v>
      </c>
      <c r="V1" s="23" t="s">
        <v>40</v>
      </c>
      <c r="W1" s="24" t="s">
        <v>33</v>
      </c>
      <c r="X1" s="21" t="s">
        <v>34</v>
      </c>
      <c r="Y1" s="21" t="s">
        <v>35</v>
      </c>
      <c r="AB1" s="25"/>
      <c r="AC1" s="26" t="s">
        <v>41</v>
      </c>
      <c r="AD1" s="26" t="s">
        <v>42</v>
      </c>
      <c r="AE1" s="26" t="s">
        <v>43</v>
      </c>
      <c r="AF1" s="26" t="s">
        <v>44</v>
      </c>
      <c r="AG1" s="26" t="s">
        <v>45</v>
      </c>
      <c r="AH1" s="26" t="s">
        <v>46</v>
      </c>
      <c r="AI1" s="26" t="s">
        <v>47</v>
      </c>
      <c r="AJ1" s="26" t="s">
        <v>48</v>
      </c>
      <c r="AK1" s="26" t="s">
        <v>49</v>
      </c>
      <c r="AL1" s="26" t="s">
        <v>50</v>
      </c>
      <c r="AM1" s="26" t="s">
        <v>51</v>
      </c>
      <c r="AN1" s="26" t="s">
        <v>52</v>
      </c>
      <c r="AO1" s="26" t="s">
        <v>53</v>
      </c>
      <c r="AP1" s="26" t="s">
        <v>54</v>
      </c>
      <c r="AQ1" s="26" t="s">
        <v>55</v>
      </c>
      <c r="AR1" s="26" t="s">
        <v>56</v>
      </c>
      <c r="AS1" s="26" t="s">
        <v>57</v>
      </c>
      <c r="AT1" s="26" t="s">
        <v>58</v>
      </c>
      <c r="AU1" s="26" t="s">
        <v>59</v>
      </c>
      <c r="AV1" s="26" t="s">
        <v>60</v>
      </c>
      <c r="AW1" s="26" t="s">
        <v>61</v>
      </c>
      <c r="AX1" s="26" t="s">
        <v>62</v>
      </c>
      <c r="AY1" s="26" t="s">
        <v>63</v>
      </c>
    </row>
    <row r="2" spans="1:51" x14ac:dyDescent="0.3">
      <c r="A2" s="27">
        <v>1</v>
      </c>
      <c r="B2" s="39">
        <v>369.29</v>
      </c>
      <c r="C2" s="28">
        <f>B2-AVERAGE($B$2:$B$81)</f>
        <v>-2.6011250000001951</v>
      </c>
      <c r="D2" s="29">
        <f>SUMPRODUCT($C$2:INDEX($C$2:$C$81,ROWS(C3:C$81)),$C3:C$81)/DEVSQ($C$2:$C$81)</f>
        <v>0.93453224441155103</v>
      </c>
      <c r="E2" s="30">
        <f>SQRT((1/COUNT($C$2:$C$81))*(1+2*SUMSQ($D$2:D2)))</f>
        <v>0.18529372060629112</v>
      </c>
      <c r="F2" s="30">
        <f>-1.96*E2</f>
        <v>-0.36317569238833058</v>
      </c>
      <c r="G2" s="30">
        <f>1.96*E2</f>
        <v>0.36317569238833058</v>
      </c>
      <c r="H2" s="31"/>
      <c r="I2" s="32">
        <v>12</v>
      </c>
      <c r="J2" s="33">
        <f ca="1">IF($I$2=1,B3-OFFSET(B3,-$I$2,0),IF($I$2=2,B4-OFFSET(B4,-$I$2,0),IF($I$2=3,B5-OFFSET(B5,-$I$2,0),IF($I$2=4,B6-OFFSET(B6,-$I$2,0),IF($I$2=5,B7-OFFSET(B7,-$I$2,0),IF($I$2=7,B9-OFFSET(B9,-$I$2,0),IF($I$2=12,B14-OFFSET(B14,-$I$2,0),IF($I$2=30,B32-OFFSET(B32,-$I$2,0),0))))))))</f>
        <v>1.7099999999999795</v>
      </c>
      <c r="K2" s="34">
        <f ca="1">J2-AVERAGE($J$2:$J$81)</f>
        <v>56.833499999999979</v>
      </c>
      <c r="L2" s="35">
        <f ca="1">SUMPRODUCT($K$2:INDEX($K$2:$K$81,ROWS(K3:K$81)),$K3:K$81)/DEVSQ($K$2:$K$81)</f>
        <v>0.91457739484213429</v>
      </c>
      <c r="M2" s="36">
        <f ca="1">SQRT((1/COUNT($K$2:$K$81))*(1+2*SUMSQ($L$2:L2)))</f>
        <v>0.18278756872092158</v>
      </c>
      <c r="N2" s="36">
        <f ca="1">-1.96*M2</f>
        <v>-0.35826363469300632</v>
      </c>
      <c r="O2" s="36">
        <f ca="1">1.96*M2</f>
        <v>0.35826363469300632</v>
      </c>
      <c r="Q2" s="37">
        <f>AE2</f>
        <v>0.93453224441155103</v>
      </c>
      <c r="R2" s="38">
        <f>1/SQRT(COUNT($C$2:$C$81))</f>
        <v>0.11180339887498948</v>
      </c>
      <c r="S2" s="39">
        <f>-1.96*R2</f>
        <v>-0.21913466179497937</v>
      </c>
      <c r="T2" s="39">
        <f>1.96*R2</f>
        <v>0.21913466179497937</v>
      </c>
      <c r="V2" s="40">
        <f ca="1">AE26</f>
        <v>0.91457739484213429</v>
      </c>
      <c r="W2" s="41">
        <f ca="1">1/SQRT(COUNT($K$2:$K$81))</f>
        <v>0.11180339887498948</v>
      </c>
      <c r="X2" s="36">
        <f ca="1">-1.96*W2</f>
        <v>-0.21913466179497937</v>
      </c>
      <c r="Y2" s="36">
        <f ca="1">1.96*W2</f>
        <v>0.21913466179497937</v>
      </c>
      <c r="AB2" s="25"/>
      <c r="AC2" s="42">
        <v>1</v>
      </c>
      <c r="AD2" s="43">
        <f t="shared" ref="AD2:AD21" si="0">D2</f>
        <v>0.93453224441155103</v>
      </c>
      <c r="AE2" s="31">
        <f>AF2</f>
        <v>0.93453224441155103</v>
      </c>
      <c r="AF2" s="44">
        <f>AD2</f>
        <v>0.93453224441155103</v>
      </c>
      <c r="AG2" s="31"/>
      <c r="AH2" s="31"/>
      <c r="AI2" s="31"/>
      <c r="AJ2" s="31"/>
      <c r="AK2" s="45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46"/>
      <c r="AX2" s="46"/>
      <c r="AY2" s="46"/>
    </row>
    <row r="3" spans="1:51" x14ac:dyDescent="0.3">
      <c r="A3" s="27">
        <v>2</v>
      </c>
      <c r="B3" s="39">
        <v>368.87</v>
      </c>
      <c r="C3" s="28">
        <f t="shared" ref="C3:C66" si="1">B3-AVERAGE($B$2:$B$81)</f>
        <v>-3.021125000000211</v>
      </c>
      <c r="D3" s="29">
        <f>SUMPRODUCT($C$2:INDEX($C$2:$C$81,ROWS(C4:C$81)),$C4:C$81)/DEVSQ($C$2:$C$81)</f>
        <v>0.8055942170427135</v>
      </c>
      <c r="E3" s="30">
        <f>SQRT((1/COUNT($C$2:$C$81))*(1+2*SUMSQ($D$2:D3)))</f>
        <v>0.22485175996517981</v>
      </c>
      <c r="F3" s="30">
        <f t="shared" ref="F3:F21" si="2">-1.96*E3</f>
        <v>-0.4407094495317524</v>
      </c>
      <c r="G3" s="30">
        <f t="shared" ref="G3:G21" si="3">1.96*E3</f>
        <v>0.4407094495317524</v>
      </c>
      <c r="H3" s="31"/>
      <c r="I3" s="47" t="s">
        <v>64</v>
      </c>
      <c r="J3" s="33">
        <f t="shared" ref="J3:J66" ca="1" si="4">IF($I$2=1,B4-OFFSET(B4,-$I$2,0),IF($I$2=2,B5-OFFSET(B5,-$I$2,0),IF($I$2=3,B6-OFFSET(B6,-$I$2,0),IF($I$2=4,B7-OFFSET(B7,-$I$2,0),IF($I$2=5,B8-OFFSET(B8,-$I$2,0),IF($I$2=7,B10-OFFSET(B10,-$I$2,0),IF($I$2=12,B15-OFFSET(B15,-$I$2,0),IF($I$2=30,B33-OFFSET(B33,-$I$2,0),0))))))))</f>
        <v>1.4800000000000182</v>
      </c>
      <c r="K3" s="34">
        <f t="shared" ref="K3:K66" ca="1" si="5">J3-AVERAGE($J$2:$J$81)</f>
        <v>56.603500000000018</v>
      </c>
      <c r="L3" s="35">
        <f ca="1">SUMPRODUCT($K$2:INDEX($K$2:$K$81,ROWS(K4:K$81)),$K4:K$81)/DEVSQ($K$2:$K$81)</f>
        <v>0.82943292781837863</v>
      </c>
      <c r="M3" s="36">
        <f ca="1">SQRT((1/COUNT($K$2:$K$81))*(1+2*SUMSQ($L$2:L3)))</f>
        <v>0.22496726389108221</v>
      </c>
      <c r="N3" s="36">
        <f t="shared" ref="N3:N21" ca="1" si="6">-1.96*M3</f>
        <v>-0.44093583722652113</v>
      </c>
      <c r="O3" s="36">
        <f t="shared" ref="O3:O21" ca="1" si="7">1.96*M3</f>
        <v>0.44093583722652113</v>
      </c>
      <c r="Q3" s="37">
        <f t="shared" ref="Q3:Q21" si="8">AE3</f>
        <v>-0.53499072068225406</v>
      </c>
      <c r="R3" s="38">
        <f t="shared" ref="R3:R21" si="9">1/SQRT(COUNT($C$2:$C$81))</f>
        <v>0.11180339887498948</v>
      </c>
      <c r="S3" s="39">
        <f t="shared" ref="S3:S21" si="10">-1.96*R3</f>
        <v>-0.21913466179497937</v>
      </c>
      <c r="T3" s="39">
        <f t="shared" ref="T3:T21" si="11">1.96*R3</f>
        <v>0.21913466179497937</v>
      </c>
      <c r="V3" s="40">
        <f t="shared" ref="V3:V21" ca="1" si="12">AE27</f>
        <v>-4.2916301228815353E-2</v>
      </c>
      <c r="W3" s="41">
        <f t="shared" ref="W3:W21" ca="1" si="13">1/SQRT(COUNT($K$2:$K$81))</f>
        <v>0.11180339887498948</v>
      </c>
      <c r="X3" s="36">
        <f t="shared" ref="X3:X21" ca="1" si="14">-1.96*W3</f>
        <v>-0.21913466179497937</v>
      </c>
      <c r="Y3" s="36">
        <f t="shared" ref="Y3:Y21" ca="1" si="15">1.96*W3</f>
        <v>0.21913466179497937</v>
      </c>
      <c r="AB3" s="25"/>
      <c r="AC3" s="42">
        <v>2</v>
      </c>
      <c r="AD3" s="43">
        <f t="shared" si="0"/>
        <v>0.8055942170427135</v>
      </c>
      <c r="AE3" s="31">
        <f>AG3</f>
        <v>-0.53499072068225406</v>
      </c>
      <c r="AF3" s="31">
        <f>AF2-(AF2*AG3)</f>
        <v>1.4344983233500912</v>
      </c>
      <c r="AG3" s="44">
        <f>(AD3-(AF2*AD2))/(1-(AF2*AD2))</f>
        <v>-0.53499072068225406</v>
      </c>
      <c r="AH3" s="31"/>
      <c r="AI3" s="31"/>
      <c r="AJ3" s="31"/>
      <c r="AK3" s="45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46"/>
      <c r="AX3" s="46"/>
      <c r="AY3" s="46"/>
    </row>
    <row r="4" spans="1:51" x14ac:dyDescent="0.3">
      <c r="A4" s="27">
        <v>3</v>
      </c>
      <c r="B4" s="39">
        <v>367.64</v>
      </c>
      <c r="C4" s="28">
        <f t="shared" si="1"/>
        <v>-4.2511250000002292</v>
      </c>
      <c r="D4" s="29">
        <f>SUMPRODUCT($C$2:INDEX($C$2:$C$81,ROWS(C5:C$81)),$C5:C$81)/DEVSQ($C$2:$C$81)</f>
        <v>0.66185985947431358</v>
      </c>
      <c r="E4" s="30">
        <f>SQRT((1/COUNT($C$2:$C$81))*(1+2*SUMSQ($D$2:D4)))</f>
        <v>0.2480116444827194</v>
      </c>
      <c r="F4" s="30">
        <f t="shared" si="2"/>
        <v>-0.48610282318613002</v>
      </c>
      <c r="G4" s="30">
        <f t="shared" si="3"/>
        <v>0.48610282318613002</v>
      </c>
      <c r="H4" s="31"/>
      <c r="I4" s="36" t="s">
        <v>65</v>
      </c>
      <c r="J4" s="33">
        <f t="shared" ca="1" si="4"/>
        <v>1.6299999999999955</v>
      </c>
      <c r="K4" s="34">
        <f t="shared" ca="1" si="5"/>
        <v>56.753499999999995</v>
      </c>
      <c r="L4" s="35">
        <f ca="1">SUMPRODUCT($K$2:INDEX($K$2:$K$81,ROWS(K5:K$81)),$K5:K$81)/DEVSQ($K$2:$K$81)</f>
        <v>0.74444025965858129</v>
      </c>
      <c r="M4" s="36">
        <f ca="1">SQRT((1/COUNT($K$2:$K$81))*(1+2*SUMSQ($L$2:L4)))</f>
        <v>0.25389968949893033</v>
      </c>
      <c r="N4" s="36">
        <f t="shared" ca="1" si="6"/>
        <v>-0.49764339141790342</v>
      </c>
      <c r="O4" s="36">
        <f t="shared" ca="1" si="7"/>
        <v>0.49764339141790342</v>
      </c>
      <c r="Q4" s="37">
        <f t="shared" si="8"/>
        <v>6.8610076746140836E-2</v>
      </c>
      <c r="R4" s="38">
        <f t="shared" si="9"/>
        <v>0.11180339887498948</v>
      </c>
      <c r="S4" s="39">
        <f t="shared" si="10"/>
        <v>-0.21913466179497937</v>
      </c>
      <c r="T4" s="39">
        <f t="shared" si="11"/>
        <v>0.21913466179497937</v>
      </c>
      <c r="V4" s="40">
        <f t="shared" ca="1" si="12"/>
        <v>-4.5609065536803529E-2</v>
      </c>
      <c r="W4" s="41">
        <f t="shared" ca="1" si="13"/>
        <v>0.11180339887498948</v>
      </c>
      <c r="X4" s="36">
        <f t="shared" ca="1" si="14"/>
        <v>-0.21913466179497937</v>
      </c>
      <c r="Y4" s="36">
        <f t="shared" ca="1" si="15"/>
        <v>0.21913466179497937</v>
      </c>
      <c r="AB4" s="25"/>
      <c r="AC4" s="42">
        <v>3</v>
      </c>
      <c r="AD4" s="43">
        <f t="shared" si="0"/>
        <v>0.66185985947431358</v>
      </c>
      <c r="AE4" s="31">
        <f>AH4</f>
        <v>6.8610076746140836E-2</v>
      </c>
      <c r="AF4" s="31">
        <f>AF3-(AG3*AH4)</f>
        <v>1.4712040777545738</v>
      </c>
      <c r="AG4" s="31">
        <f>AG3-(AF3*AH4)</f>
        <v>-0.63341176073951422</v>
      </c>
      <c r="AH4" s="44">
        <f>(AD4-(AF3*AD3+AG3*AD2))/(1-(AF3*AD2+AG3*AD3))</f>
        <v>6.8610076746140836E-2</v>
      </c>
      <c r="AI4" s="31"/>
      <c r="AJ4" s="31"/>
      <c r="AK4" s="45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46"/>
      <c r="AX4" s="46"/>
      <c r="AY4" s="46"/>
    </row>
    <row r="5" spans="1:51" x14ac:dyDescent="0.3">
      <c r="A5" s="27">
        <v>4</v>
      </c>
      <c r="B5" s="39">
        <v>365.77</v>
      </c>
      <c r="C5" s="28">
        <f t="shared" si="1"/>
        <v>-6.1211250000002337</v>
      </c>
      <c r="D5" s="29">
        <f>SUMPRODUCT($C$2:INDEX($C$2:$C$81,ROWS(C6:C$81)),$C6:C$81)/DEVSQ($C$2:$C$81)</f>
        <v>0.53840254217894734</v>
      </c>
      <c r="E5" s="30">
        <f>SQRT((1/COUNT($C$2:$C$81))*(1+2*SUMSQ($D$2:D5)))</f>
        <v>0.26221500383204932</v>
      </c>
      <c r="F5" s="30">
        <f t="shared" si="2"/>
        <v>-0.51394140751081663</v>
      </c>
      <c r="G5" s="30">
        <f t="shared" si="3"/>
        <v>0.51394140751081663</v>
      </c>
      <c r="H5" s="31"/>
      <c r="I5" s="36" t="s">
        <v>66</v>
      </c>
      <c r="J5" s="33">
        <f t="shared" ca="1" si="4"/>
        <v>1.1700000000000159</v>
      </c>
      <c r="K5" s="34">
        <f t="shared" ca="1" si="5"/>
        <v>56.293500000000016</v>
      </c>
      <c r="L5" s="35">
        <f ca="1">SUMPRODUCT($K$2:INDEX($K$2:$K$81,ROWS(K6:K$81)),$K6:K$81)/DEVSQ($K$2:$K$81)</f>
        <v>0.65900855228180677</v>
      </c>
      <c r="M5" s="36">
        <f ca="1">SQRT((1/COUNT($K$2:$K$81))*(1+2*SUMSQ($L$2:L5)))</f>
        <v>0.27444919225089237</v>
      </c>
      <c r="N5" s="36">
        <f t="shared" ca="1" si="6"/>
        <v>-0.53792041681174907</v>
      </c>
      <c r="O5" s="36">
        <f t="shared" ca="1" si="7"/>
        <v>0.53792041681174907</v>
      </c>
      <c r="Q5" s="37">
        <f t="shared" si="8"/>
        <v>0.12032394388684031</v>
      </c>
      <c r="R5" s="38">
        <f t="shared" si="9"/>
        <v>0.11180339887498948</v>
      </c>
      <c r="S5" s="39">
        <f t="shared" si="10"/>
        <v>-0.21913466179497937</v>
      </c>
      <c r="T5" s="39">
        <f t="shared" si="11"/>
        <v>0.21913466179497937</v>
      </c>
      <c r="V5" s="40">
        <f t="shared" ca="1" si="12"/>
        <v>-5.1414402894679509E-2</v>
      </c>
      <c r="W5" s="41">
        <f t="shared" ca="1" si="13"/>
        <v>0.11180339887498948</v>
      </c>
      <c r="X5" s="36">
        <f t="shared" ca="1" si="14"/>
        <v>-0.21913466179497937</v>
      </c>
      <c r="Y5" s="36">
        <f t="shared" ca="1" si="15"/>
        <v>0.21913466179497937</v>
      </c>
      <c r="AC5" s="42">
        <v>4</v>
      </c>
      <c r="AD5" s="43">
        <f t="shared" si="0"/>
        <v>0.53840254217894734</v>
      </c>
      <c r="AE5" s="45">
        <f>AI5</f>
        <v>0.12032394388684031</v>
      </c>
      <c r="AF5" s="45">
        <f>AF4-(AH4*AI5)</f>
        <v>1.4629486427300993</v>
      </c>
      <c r="AG5" s="45">
        <f>AG4-(AG4*AI5)</f>
        <v>-0.55719715958302818</v>
      </c>
      <c r="AH5" s="45">
        <f>AH4-(AF4*AI5)</f>
        <v>-0.10841100015169117</v>
      </c>
      <c r="AI5" s="44">
        <f>(AD5-(AF4*AD4+AG4*AD3+AH4*AD2))/(1-(AF4*AD2+AG4*AD3+AH4*AD4))</f>
        <v>0.12032394388684031</v>
      </c>
      <c r="AJ5" s="31"/>
      <c r="AK5" s="45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46"/>
      <c r="AX5" s="46"/>
      <c r="AY5" s="46"/>
    </row>
    <row r="6" spans="1:51" x14ac:dyDescent="0.3">
      <c r="A6" s="27">
        <v>5</v>
      </c>
      <c r="B6" s="39">
        <v>363.9</v>
      </c>
      <c r="C6" s="28">
        <f t="shared" si="1"/>
        <v>-7.9911250000002383</v>
      </c>
      <c r="D6" s="29">
        <f>SUMPRODUCT($C$2:INDEX($C$2:$C$81,ROWS(C7:C$81)),$C7:C$81)/DEVSQ($C$2:$C$81)</f>
        <v>0.44816600358404857</v>
      </c>
      <c r="E6" s="30">
        <f>SQRT((1/COUNT($C$2:$C$81))*(1+2*SUMSQ($D$2:D6)))</f>
        <v>0.27162111001145339</v>
      </c>
      <c r="F6" s="30">
        <f t="shared" si="2"/>
        <v>-0.53237737562244869</v>
      </c>
      <c r="G6" s="30">
        <f t="shared" si="3"/>
        <v>0.53237737562244869</v>
      </c>
      <c r="H6" s="31"/>
      <c r="I6" s="31"/>
      <c r="J6" s="33">
        <f t="shared" ca="1" si="4"/>
        <v>0.73000000000001819</v>
      </c>
      <c r="K6" s="34">
        <f t="shared" ca="1" si="5"/>
        <v>55.853500000000018</v>
      </c>
      <c r="L6" s="35">
        <f ca="1">SUMPRODUCT($K$2:INDEX($K$2:$K$81,ROWS(K7:K$81)),$K7:K$81)/DEVSQ($K$2:$K$81)</f>
        <v>0.57310733834540861</v>
      </c>
      <c r="M6" s="36">
        <f ca="1">SQRT((1/COUNT($K$2:$K$81))*(1+2*SUMSQ($L$2:L6)))</f>
        <v>0.28902190169397418</v>
      </c>
      <c r="N6" s="36">
        <f t="shared" ca="1" si="6"/>
        <v>-0.56648292732018934</v>
      </c>
      <c r="O6" s="36">
        <f t="shared" ca="1" si="7"/>
        <v>0.56648292732018934</v>
      </c>
      <c r="Q6" s="37">
        <f t="shared" si="8"/>
        <v>4.7205703570149284E-2</v>
      </c>
      <c r="R6" s="38">
        <f t="shared" si="9"/>
        <v>0.11180339887498948</v>
      </c>
      <c r="S6" s="39">
        <f t="shared" si="10"/>
        <v>-0.21913466179497937</v>
      </c>
      <c r="T6" s="39">
        <f t="shared" si="11"/>
        <v>0.21913466179497937</v>
      </c>
      <c r="V6" s="40">
        <f t="shared" ca="1" si="12"/>
        <v>-5.4392721294420882E-2</v>
      </c>
      <c r="W6" s="41">
        <f t="shared" ca="1" si="13"/>
        <v>0.11180339887498948</v>
      </c>
      <c r="X6" s="36">
        <f t="shared" ca="1" si="14"/>
        <v>-0.21913466179497937</v>
      </c>
      <c r="Y6" s="36">
        <f t="shared" ca="1" si="15"/>
        <v>0.21913466179497937</v>
      </c>
      <c r="AC6" s="42">
        <v>5</v>
      </c>
      <c r="AD6" s="43">
        <f t="shared" si="0"/>
        <v>0.44816600358404857</v>
      </c>
      <c r="AE6" s="45">
        <f>AJ6</f>
        <v>4.7205703570149284E-2</v>
      </c>
      <c r="AF6" s="45">
        <f>AF5-(AI5*AJ6)</f>
        <v>1.4572686663025858</v>
      </c>
      <c r="AG6" s="45">
        <f>AG5-(AH5*AJ6)</f>
        <v>-0.55207954204612408</v>
      </c>
      <c r="AH6" s="45">
        <f>AH5-(AG5*AJ6)</f>
        <v>-8.2108116206285581E-2</v>
      </c>
      <c r="AI6" s="31">
        <f>AI5-(AF5*AJ6)</f>
        <v>5.1264423919771013E-2</v>
      </c>
      <c r="AJ6" s="44">
        <f>(AD6-(AF5*AD5+AG5*AD4+AH5*AD3+AI5*AD2))/(1-(AF5*AD2+AG5*AD3+AH5*AD4+AI5*AD5))</f>
        <v>4.7205703570149284E-2</v>
      </c>
      <c r="AK6" s="45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46"/>
      <c r="AX6" s="46"/>
      <c r="AY6" s="46"/>
    </row>
    <row r="7" spans="1:51" x14ac:dyDescent="0.3">
      <c r="A7" s="27">
        <v>6</v>
      </c>
      <c r="B7" s="39">
        <v>364.23</v>
      </c>
      <c r="C7" s="28">
        <f t="shared" si="1"/>
        <v>-7.6611250000001974</v>
      </c>
      <c r="D7" s="29">
        <f>SUMPRODUCT($C$2:INDEX($C$2:$C$81,ROWS(C8:C$81)),$C8:C$81)/DEVSQ($C$2:$C$81)</f>
        <v>0.39346433665159014</v>
      </c>
      <c r="E7" s="30">
        <f>SQRT((1/COUNT($C$2:$C$81))*(1+2*SUMSQ($D$2:D7)))</f>
        <v>0.27865459265777576</v>
      </c>
      <c r="F7" s="30">
        <f t="shared" si="2"/>
        <v>-0.54616300160924047</v>
      </c>
      <c r="G7" s="30">
        <f t="shared" si="3"/>
        <v>0.54616300160924047</v>
      </c>
      <c r="H7" s="31"/>
      <c r="I7" s="31"/>
      <c r="J7" s="33">
        <f t="shared" ca="1" si="4"/>
        <v>0.88999999999998636</v>
      </c>
      <c r="K7" s="34">
        <f t="shared" ca="1" si="5"/>
        <v>56.013499999999986</v>
      </c>
      <c r="L7" s="35">
        <f ca="1">SUMPRODUCT($K$2:INDEX($K$2:$K$81,ROWS(K8:K$81)),$K8:K$81)/DEVSQ($K$2:$K$81)</f>
        <v>0.48710513673244649</v>
      </c>
      <c r="M7" s="36">
        <f ca="1">SQRT((1/COUNT($K$2:$K$81))*(1+2*SUMSQ($L$2:L7)))</f>
        <v>0.2991077481687488</v>
      </c>
      <c r="N7" s="36">
        <f t="shared" ca="1" si="6"/>
        <v>-0.58625118641074758</v>
      </c>
      <c r="O7" s="36">
        <f t="shared" ca="1" si="7"/>
        <v>0.58625118641074758</v>
      </c>
      <c r="Q7" s="37">
        <f t="shared" si="8"/>
        <v>7.3892100089512316E-2</v>
      </c>
      <c r="R7" s="38">
        <f t="shared" si="9"/>
        <v>0.11180339887498948</v>
      </c>
      <c r="S7" s="39">
        <f t="shared" si="10"/>
        <v>-0.21913466179497937</v>
      </c>
      <c r="T7" s="39">
        <f t="shared" si="11"/>
        <v>0.21913466179497937</v>
      </c>
      <c r="V7" s="40">
        <f t="shared" ca="1" si="12"/>
        <v>-5.5244887005137001E-2</v>
      </c>
      <c r="W7" s="41">
        <f t="shared" ca="1" si="13"/>
        <v>0.11180339887498948</v>
      </c>
      <c r="X7" s="36">
        <f t="shared" ca="1" si="14"/>
        <v>-0.21913466179497937</v>
      </c>
      <c r="Y7" s="36">
        <f t="shared" ca="1" si="15"/>
        <v>0.21913466179497937</v>
      </c>
      <c r="AC7" s="42">
        <v>6</v>
      </c>
      <c r="AD7" s="43">
        <f t="shared" si="0"/>
        <v>0.39346433665159014</v>
      </c>
      <c r="AE7" s="45">
        <f>AK7</f>
        <v>7.3892100089512316E-2</v>
      </c>
      <c r="AF7" s="45">
        <f>AF6-(AJ6*AK7)</f>
        <v>1.4537805377295845</v>
      </c>
      <c r="AG7" s="45">
        <f>AG6-(AI6*AK7)</f>
        <v>-0.55586757798943498</v>
      </c>
      <c r="AH7" s="45">
        <f>AH6-(AH6*AK7)</f>
        <v>-7.6040975065409425E-2</v>
      </c>
      <c r="AI7" s="31">
        <f>AI6-(AG6*AK7)</f>
        <v>9.205874069801534E-2</v>
      </c>
      <c r="AJ7" s="31">
        <f>AJ6-(AF6*AK7)</f>
        <v>-6.0474938577591515E-2</v>
      </c>
      <c r="AK7" s="48">
        <f>(AD7-(AF6*AD6+AG6*AD5+AH6*AD4+AI6*AD3+AJ6*AD2))/(1-(AF6*AD2+AG6*AD3+AH6*AD4+AI6*AD5+AJ6*AD6))</f>
        <v>7.3892100089512316E-2</v>
      </c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46"/>
      <c r="AX7" s="46"/>
      <c r="AY7" s="46"/>
    </row>
    <row r="8" spans="1:51" x14ac:dyDescent="0.3">
      <c r="A8" s="27">
        <v>7</v>
      </c>
      <c r="B8" s="39">
        <v>365.46</v>
      </c>
      <c r="C8" s="28">
        <f t="shared" si="1"/>
        <v>-6.431125000000236</v>
      </c>
      <c r="D8" s="29">
        <f>SUMPRODUCT($C$2:INDEX($C$2:$C$81,ROWS(C9:C$81)),$C9:C$81)/DEVSQ($C$2:$C$81)</f>
        <v>0.37284303277847586</v>
      </c>
      <c r="E8" s="30">
        <f>SQRT((1/COUNT($C$2:$C$81))*(1+2*SUMSQ($D$2:D8)))</f>
        <v>0.28482219047426283</v>
      </c>
      <c r="F8" s="30">
        <f t="shared" si="2"/>
        <v>-0.55825149332955515</v>
      </c>
      <c r="G8" s="30">
        <f t="shared" si="3"/>
        <v>0.55825149332955515</v>
      </c>
      <c r="H8" s="31"/>
      <c r="I8" s="31"/>
      <c r="J8" s="33">
        <f t="shared" ca="1" si="4"/>
        <v>1.2100000000000364</v>
      </c>
      <c r="K8" s="34">
        <f t="shared" ca="1" si="5"/>
        <v>56.333500000000036</v>
      </c>
      <c r="L8" s="35">
        <f ca="1">SUMPRODUCT($K$2:INDEX($K$2:$K$81,ROWS(K9:K$81)),$K9:K$81)/DEVSQ($K$2:$K$81)</f>
        <v>0.40109173474993409</v>
      </c>
      <c r="M8" s="36">
        <f ca="1">SQRT((1/COUNT($K$2:$K$81))*(1+2*SUMSQ($L$2:L8)))</f>
        <v>0.30575694514875279</v>
      </c>
      <c r="N8" s="36">
        <f t="shared" ca="1" si="6"/>
        <v>-0.59928361249155548</v>
      </c>
      <c r="O8" s="36">
        <f t="shared" ca="1" si="7"/>
        <v>0.59928361249155548</v>
      </c>
      <c r="Q8" s="37">
        <f t="shared" si="8"/>
        <v>0.10941459273960194</v>
      </c>
      <c r="R8" s="38">
        <f t="shared" si="9"/>
        <v>0.11180339887498948</v>
      </c>
      <c r="S8" s="39">
        <f t="shared" si="10"/>
        <v>-0.21913466179497937</v>
      </c>
      <c r="T8" s="39">
        <f t="shared" si="11"/>
        <v>0.21913466179497937</v>
      </c>
      <c r="V8" s="40">
        <f t="shared" ca="1" si="12"/>
        <v>-5.7904932675591991E-2</v>
      </c>
      <c r="W8" s="41">
        <f t="shared" ca="1" si="13"/>
        <v>0.11180339887498948</v>
      </c>
      <c r="X8" s="36">
        <f t="shared" ca="1" si="14"/>
        <v>-0.21913466179497937</v>
      </c>
      <c r="Y8" s="36">
        <f t="shared" ca="1" si="15"/>
        <v>0.21913466179497937</v>
      </c>
      <c r="AC8" s="42">
        <v>7</v>
      </c>
      <c r="AD8" s="43">
        <f t="shared" si="0"/>
        <v>0.37284303277847586</v>
      </c>
      <c r="AE8" s="45">
        <f>AL8</f>
        <v>0.10941459273960194</v>
      </c>
      <c r="AF8" s="45">
        <f>AF7-(AK7*AL8)</f>
        <v>1.4456956636916165</v>
      </c>
      <c r="AG8" s="45">
        <f>AG7-(AJ7*AL8)</f>
        <v>-0.54925073721401541</v>
      </c>
      <c r="AH8" s="45">
        <f>AH7-(AI7*AL8)</f>
        <v>-8.6113544687003385E-2</v>
      </c>
      <c r="AI8" s="31">
        <f>AI7-(AH7*AL8)</f>
        <v>0.10037873301631933</v>
      </c>
      <c r="AJ8" s="31">
        <f>AJ7-(AG7*AL8)</f>
        <v>3.450860852714302E-4</v>
      </c>
      <c r="AK8" s="31">
        <f>AK7-(AF7*AL8)</f>
        <v>-8.5172705378929695E-2</v>
      </c>
      <c r="AL8" s="44">
        <f>(AD8-(AF7*AD7+AG7*AD6+AH7*AD5+AI7*AD4+AJ7*AD3+AK7*AD2))/(1-(AF7*AD2+AG7*AD3+AH7*AD4+AI7*AD5+AJ7*AD6+AK7*AD7))</f>
        <v>0.10941459273960194</v>
      </c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46"/>
      <c r="AX8" s="46"/>
      <c r="AY8" s="46"/>
    </row>
    <row r="9" spans="1:51" x14ac:dyDescent="0.3">
      <c r="A9" s="27">
        <v>8</v>
      </c>
      <c r="B9" s="39">
        <v>366.97</v>
      </c>
      <c r="C9" s="28">
        <f t="shared" si="1"/>
        <v>-4.9211250000001883</v>
      </c>
      <c r="D9" s="29">
        <f>SUMPRODUCT($C$2:INDEX($C$2:$C$81,ROWS(C10:C$81)),$C10:C$81)/DEVSQ($C$2:$C$81)</f>
        <v>0.39050323005593746</v>
      </c>
      <c r="E9" s="30">
        <f>SQRT((1/COUNT($C$2:$C$81))*(1+2*SUMSQ($D$2:D9)))</f>
        <v>0.29143781412792036</v>
      </c>
      <c r="F9" s="30">
        <f t="shared" si="2"/>
        <v>-0.57121811569072389</v>
      </c>
      <c r="G9" s="30">
        <f t="shared" si="3"/>
        <v>0.57121811569072389</v>
      </c>
      <c r="H9" s="31"/>
      <c r="I9" s="31"/>
      <c r="J9" s="33">
        <f t="shared" ca="1" si="4"/>
        <v>1.0399999999999636</v>
      </c>
      <c r="K9" s="34">
        <f t="shared" ca="1" si="5"/>
        <v>56.163499999999964</v>
      </c>
      <c r="L9" s="35">
        <f ca="1">SUMPRODUCT($K$2:INDEX($K$2:$K$81,ROWS(K10:K$81)),$K10:K$81)/DEVSQ($K$2:$K$81)</f>
        <v>0.31513202651033284</v>
      </c>
      <c r="M9" s="36">
        <f ca="1">SQRT((1/COUNT($K$2:$K$81))*(1+2*SUMSQ($L$2:L9)))</f>
        <v>0.30979027479895194</v>
      </c>
      <c r="N9" s="36">
        <f t="shared" ca="1" si="6"/>
        <v>-0.6071889386059458</v>
      </c>
      <c r="O9" s="36">
        <f t="shared" ca="1" si="7"/>
        <v>0.6071889386059458</v>
      </c>
      <c r="Q9" s="37">
        <f t="shared" si="8"/>
        <v>0.21026450224186577</v>
      </c>
      <c r="R9" s="38">
        <f t="shared" si="9"/>
        <v>0.11180339887498948</v>
      </c>
      <c r="S9" s="39">
        <f t="shared" si="10"/>
        <v>-0.21913466179497937</v>
      </c>
      <c r="T9" s="39">
        <f t="shared" si="11"/>
        <v>0.21913466179497937</v>
      </c>
      <c r="V9" s="40">
        <f t="shared" ca="1" si="12"/>
        <v>-6.1046920447329477E-2</v>
      </c>
      <c r="W9" s="41">
        <f t="shared" ca="1" si="13"/>
        <v>0.11180339887498948</v>
      </c>
      <c r="X9" s="36">
        <f t="shared" ca="1" si="14"/>
        <v>-0.21913466179497937</v>
      </c>
      <c r="Y9" s="36">
        <f t="shared" ca="1" si="15"/>
        <v>0.21913466179497937</v>
      </c>
      <c r="AC9" s="42">
        <v>8</v>
      </c>
      <c r="AD9" s="43">
        <f t="shared" si="0"/>
        <v>0.39050323005593746</v>
      </c>
      <c r="AE9" s="45">
        <f>AM9</f>
        <v>0.21026450224186577</v>
      </c>
      <c r="AF9" s="45">
        <f>AF8-(AL8*AM9)</f>
        <v>1.4226896588112277</v>
      </c>
      <c r="AG9" s="45">
        <f>AG8-(AK8*AM9)</f>
        <v>-0.53134194071292162</v>
      </c>
      <c r="AH9" s="45">
        <f>AH8-(AJ8*AM9)</f>
        <v>-8.6186104040953573E-2</v>
      </c>
      <c r="AI9" s="31">
        <f>AI8-(AI8*AM9)</f>
        <v>7.9272648682973818E-2</v>
      </c>
      <c r="AJ9" s="31">
        <f>AJ8-(AH8*AM9)</f>
        <v>1.8451707695166863E-2</v>
      </c>
      <c r="AK9" s="31">
        <f>AK8-(AG8*AM9)</f>
        <v>3.0315227487353075E-2</v>
      </c>
      <c r="AL9" s="31">
        <f>AL8-(AF8*AM9)</f>
        <v>-0.19456388637973956</v>
      </c>
      <c r="AM9" s="44">
        <f>(AD9-(AF8*AD8+AG8*AD7+AH8*AD6+AI8*AD5+AJ8*AD4+AK8*AD3+AL8*AD2))/(1-(AF8*AD2+AG8*AD3+AH8*AD4+AI8*AD5+AJ8*AD6+AK8*AD7+AL8*AD8))</f>
        <v>0.21026450224186577</v>
      </c>
      <c r="AN9" s="31"/>
      <c r="AO9" s="31"/>
      <c r="AP9" s="31"/>
      <c r="AQ9" s="31"/>
      <c r="AR9" s="31"/>
      <c r="AS9" s="31"/>
      <c r="AT9" s="31"/>
      <c r="AU9" s="31"/>
      <c r="AV9" s="31"/>
      <c r="AW9" s="46"/>
      <c r="AX9" s="46"/>
      <c r="AY9" s="46"/>
    </row>
    <row r="10" spans="1:51" x14ac:dyDescent="0.3">
      <c r="A10" s="27">
        <v>9</v>
      </c>
      <c r="B10" s="39">
        <v>368.15</v>
      </c>
      <c r="C10" s="28">
        <f t="shared" si="1"/>
        <v>-3.7411250000002383</v>
      </c>
      <c r="D10" s="29">
        <f>SUMPRODUCT($C$2:INDEX($C$2:$C$81,ROWS(C11:C$81)),$C11:C$81)/DEVSQ($C$2:$C$81)</f>
        <v>0.44945876502632343</v>
      </c>
      <c r="E10" s="30">
        <f>SQRT((1/COUNT($C$2:$C$81))*(1+2*SUMSQ($D$2:D10)))</f>
        <v>0.29997721420157053</v>
      </c>
      <c r="F10" s="30">
        <f t="shared" si="2"/>
        <v>-0.58795533983507819</v>
      </c>
      <c r="G10" s="30">
        <f t="shared" si="3"/>
        <v>0.58795533983507819</v>
      </c>
      <c r="H10" s="31"/>
      <c r="I10" s="31"/>
      <c r="J10" s="33">
        <f t="shared" ca="1" si="4"/>
        <v>0.99000000000000909</v>
      </c>
      <c r="K10" s="34">
        <f t="shared" ca="1" si="5"/>
        <v>56.113500000000009</v>
      </c>
      <c r="L10" s="35">
        <f ca="1">SUMPRODUCT($K$2:INDEX($K$2:$K$81,ROWS(K11:K$81)),$K11:K$81)/DEVSQ($K$2:$K$81)</f>
        <v>0.2295034598261749</v>
      </c>
      <c r="M10" s="36">
        <f ca="1">SQRT((1/COUNT($K$2:$K$81))*(1+2*SUMSQ($L$2:L10)))</f>
        <v>0.31190833639358662</v>
      </c>
      <c r="N10" s="36">
        <f t="shared" ca="1" si="6"/>
        <v>-0.61134033933142973</v>
      </c>
      <c r="O10" s="36">
        <f t="shared" ca="1" si="7"/>
        <v>0.61134033933142973</v>
      </c>
      <c r="Q10" s="37">
        <f t="shared" si="8"/>
        <v>0.24822982247441405</v>
      </c>
      <c r="R10" s="38">
        <f t="shared" si="9"/>
        <v>0.11180339887498948</v>
      </c>
      <c r="S10" s="39">
        <f t="shared" si="10"/>
        <v>-0.21913466179497937</v>
      </c>
      <c r="T10" s="39">
        <f t="shared" si="11"/>
        <v>0.21913466179497937</v>
      </c>
      <c r="V10" s="40">
        <f t="shared" ca="1" si="12"/>
        <v>-6.3287054279925495E-2</v>
      </c>
      <c r="W10" s="41">
        <f t="shared" ca="1" si="13"/>
        <v>0.11180339887498948</v>
      </c>
      <c r="X10" s="36">
        <f t="shared" ca="1" si="14"/>
        <v>-0.21913466179497937</v>
      </c>
      <c r="Y10" s="36">
        <f t="shared" ca="1" si="15"/>
        <v>0.21913466179497937</v>
      </c>
      <c r="AC10" s="42">
        <v>9</v>
      </c>
      <c r="AD10" s="43">
        <f t="shared" si="0"/>
        <v>0.44945876502632343</v>
      </c>
      <c r="AE10" s="45">
        <f>AN10</f>
        <v>0.24822982247441405</v>
      </c>
      <c r="AF10" s="45">
        <f>AF9-(AM9*AN10)</f>
        <v>1.3704957387470582</v>
      </c>
      <c r="AG10" s="45">
        <f>AG9-(AL9*AN10)</f>
        <v>-0.48304538173694678</v>
      </c>
      <c r="AH10" s="45">
        <f>AH9-(AK9*AN10)</f>
        <v>-9.3711247578410706E-2</v>
      </c>
      <c r="AI10" s="31">
        <f>AI9-(AJ9*AN10)</f>
        <v>7.4692384557452765E-2</v>
      </c>
      <c r="AJ10" s="31">
        <f>AJ9-(AI9*AN10)</f>
        <v>-1.2261278144843207E-3</v>
      </c>
      <c r="AK10" s="31">
        <f>AK9-(AH9*AN10)</f>
        <v>5.1709188793200356E-2</v>
      </c>
      <c r="AL10" s="31">
        <f>AL9-(AG9*AN10)</f>
        <v>-6.2668970763360393E-2</v>
      </c>
      <c r="AM10" s="31">
        <f>AM9-(AF9*AN10)</f>
        <v>-0.14288949920102995</v>
      </c>
      <c r="AN10" s="44">
        <f>(AD10-(AF9*AD9+AG9*AD8+AH9*AD7+AI9*AD6+AJ9*AD5+AK9*AD4+AL9*AD3+AM9*AD2))/(1-(AF9*AD2+AG9*AD3+AH9*AD4+AI9*AD5+AJ9*AD6+AK9*AD7+AL9*AD8+AM9*AD9))</f>
        <v>0.24822982247441405</v>
      </c>
      <c r="AO10" s="31"/>
      <c r="AP10" s="31"/>
      <c r="AQ10" s="31"/>
      <c r="AR10" s="31"/>
      <c r="AS10" s="31"/>
      <c r="AT10" s="31"/>
      <c r="AU10" s="31"/>
      <c r="AV10" s="31"/>
      <c r="AW10" s="46"/>
      <c r="AX10" s="46"/>
      <c r="AY10" s="46"/>
    </row>
    <row r="11" spans="1:51" x14ac:dyDescent="0.3">
      <c r="A11" s="27">
        <v>10</v>
      </c>
      <c r="B11" s="39">
        <v>368.87</v>
      </c>
      <c r="C11" s="28">
        <f t="shared" si="1"/>
        <v>-3.021125000000211</v>
      </c>
      <c r="D11" s="29">
        <f>SUMPRODUCT($C$2:INDEX($C$2:$C$81,ROWS(C12:C$81)),$C12:C$81)/DEVSQ($C$2:$C$81)</f>
        <v>0.53985362608215393</v>
      </c>
      <c r="E11" s="30">
        <f>SQRT((1/COUNT($C$2:$C$81))*(1+2*SUMSQ($D$2:D11)))</f>
        <v>0.3118851991999399</v>
      </c>
      <c r="F11" s="30">
        <f t="shared" si="2"/>
        <v>-0.61129499043188218</v>
      </c>
      <c r="G11" s="30">
        <f t="shared" si="3"/>
        <v>0.61129499043188218</v>
      </c>
      <c r="H11" s="31"/>
      <c r="I11" s="31"/>
      <c r="J11" s="33">
        <f t="shared" ca="1" si="4"/>
        <v>0.58999999999997499</v>
      </c>
      <c r="K11" s="34">
        <f t="shared" ca="1" si="5"/>
        <v>55.713499999999975</v>
      </c>
      <c r="L11" s="35">
        <f ca="1">SUMPRODUCT($K$2:INDEX($K$2:$K$81,ROWS(K12:K$81)),$K12:K$81)/DEVSQ($K$2:$K$81)</f>
        <v>0.14445241250770849</v>
      </c>
      <c r="M11" s="36">
        <f ca="1">SQRT((1/COUNT($K$2:$K$81))*(1+2*SUMSQ($L$2:L11)))</f>
        <v>0.31274346164036304</v>
      </c>
      <c r="N11" s="36">
        <f t="shared" ca="1" si="6"/>
        <v>-0.61297718481511154</v>
      </c>
      <c r="O11" s="36">
        <f t="shared" ca="1" si="7"/>
        <v>0.61297718481511154</v>
      </c>
      <c r="Q11" s="37">
        <f t="shared" si="8"/>
        <v>0.19715798742701804</v>
      </c>
      <c r="R11" s="38">
        <f t="shared" si="9"/>
        <v>0.11180339887498948</v>
      </c>
      <c r="S11" s="39">
        <f t="shared" si="10"/>
        <v>-0.21913466179497937</v>
      </c>
      <c r="T11" s="39">
        <f t="shared" si="11"/>
        <v>0.21913466179497937</v>
      </c>
      <c r="V11" s="40">
        <f t="shared" ca="1" si="12"/>
        <v>-6.6017360767403527E-2</v>
      </c>
      <c r="W11" s="41">
        <f t="shared" ca="1" si="13"/>
        <v>0.11180339887498948</v>
      </c>
      <c r="X11" s="36">
        <f t="shared" ca="1" si="14"/>
        <v>-0.21913466179497937</v>
      </c>
      <c r="Y11" s="36">
        <f t="shared" ca="1" si="15"/>
        <v>0.21913466179497937</v>
      </c>
      <c r="AC11" s="42">
        <v>10</v>
      </c>
      <c r="AD11" s="43">
        <f t="shared" si="0"/>
        <v>0.53985362608215393</v>
      </c>
      <c r="AE11" s="45">
        <f>AO11</f>
        <v>0.19715798742701804</v>
      </c>
      <c r="AF11" s="45">
        <f>AF10-(AN10*AO11)</f>
        <v>1.3215552465286369</v>
      </c>
      <c r="AG11" s="45">
        <f>AG10-(AM10*AO11)</f>
        <v>-0.45487357565001724</v>
      </c>
      <c r="AH11" s="45">
        <f>AH10-(AL10*AO11)</f>
        <v>-8.135555942858394E-2</v>
      </c>
      <c r="AI11" s="31">
        <f>AI10-(AK10*AO11)</f>
        <v>6.4497504963501665E-2</v>
      </c>
      <c r="AJ11" s="31">
        <f>AJ10-(AJ10*AO11)</f>
        <v>-9.8438692225230389E-4</v>
      </c>
      <c r="AK11" s="31">
        <f>AK10-(AI10*AO11)</f>
        <v>3.6982988577728089E-2</v>
      </c>
      <c r="AL11" s="31">
        <f>AL10-(AH10*AO11)</f>
        <v>-4.4193049791525919E-2</v>
      </c>
      <c r="AM11" s="31">
        <f>AM10-(AG10*AO11)</f>
        <v>-4.7653243901857864E-2</v>
      </c>
      <c r="AN11" s="31">
        <f>AN10-(AF10*AO11)</f>
        <v>-2.197435915426027E-2</v>
      </c>
      <c r="AO11" s="44">
        <f>(AD11-(AF10*AD10+AG10*AD9+AH10*AD8+AI10*AD7+AJ10*AD6+AK10*AD5+AL10*AD4+AM10*AD3+AN10*AD2))/(1-(AF10*AD2+AG10*AD3+AH10*AD4+AI10*AD5+AJ10*AD6+AK10*AD7+AL10*AD8+AM10*AD9+AN10*AD10))</f>
        <v>0.19715798742701804</v>
      </c>
      <c r="AP11" s="31"/>
      <c r="AQ11" s="31"/>
      <c r="AR11" s="31"/>
      <c r="AS11" s="31"/>
      <c r="AT11" s="31"/>
      <c r="AU11" s="31"/>
      <c r="AV11" s="31"/>
      <c r="AW11" s="46"/>
      <c r="AX11" s="46"/>
      <c r="AY11" s="46"/>
    </row>
    <row r="12" spans="1:51" x14ac:dyDescent="0.3">
      <c r="A12" s="27">
        <v>11</v>
      </c>
      <c r="B12" s="39">
        <v>369.59</v>
      </c>
      <c r="C12" s="28">
        <f t="shared" si="1"/>
        <v>-2.3011250000002406</v>
      </c>
      <c r="D12" s="29">
        <f>SUMPRODUCT($C$2:INDEX($C$2:$C$81,ROWS(C13:C$81)),$C13:C$81)/DEVSQ($C$2:$C$81)</f>
        <v>0.61756181735832893</v>
      </c>
      <c r="E12" s="30">
        <f>SQRT((1/COUNT($C$2:$C$81))*(1+2*SUMSQ($D$2:D12)))</f>
        <v>0.32681331435004179</v>
      </c>
      <c r="F12" s="30">
        <f t="shared" si="2"/>
        <v>-0.64055409612608194</v>
      </c>
      <c r="G12" s="30">
        <f t="shared" si="3"/>
        <v>0.64055409612608194</v>
      </c>
      <c r="H12" s="31"/>
      <c r="I12" s="31"/>
      <c r="J12" s="33">
        <f t="shared" ca="1" si="4"/>
        <v>0.93000000000000682</v>
      </c>
      <c r="K12" s="34">
        <f t="shared" ca="1" si="5"/>
        <v>56.053500000000007</v>
      </c>
      <c r="L12" s="35">
        <f ca="1">SUMPRODUCT($K$2:INDEX($K$2:$K$81,ROWS(K13:K$81)),$K13:K$81)/DEVSQ($K$2:$K$81)</f>
        <v>5.9341853399162432E-2</v>
      </c>
      <c r="M12" s="36">
        <f ca="1">SQRT((1/COUNT($K$2:$K$81))*(1+2*SUMSQ($L$2:L12)))</f>
        <v>0.31288417855161421</v>
      </c>
      <c r="N12" s="36">
        <f t="shared" ca="1" si="6"/>
        <v>-0.61325298996116384</v>
      </c>
      <c r="O12" s="36">
        <f t="shared" ca="1" si="7"/>
        <v>0.61325298996116384</v>
      </c>
      <c r="Q12" s="37">
        <f t="shared" si="8"/>
        <v>-0.14834311916560644</v>
      </c>
      <c r="R12" s="38">
        <f t="shared" si="9"/>
        <v>0.11180339887498948</v>
      </c>
      <c r="S12" s="39">
        <f t="shared" si="10"/>
        <v>-0.21913466179497937</v>
      </c>
      <c r="T12" s="39">
        <f t="shared" si="11"/>
        <v>0.21913466179497937</v>
      </c>
      <c r="V12" s="40">
        <f t="shared" ca="1" si="12"/>
        <v>-7.4674012906734755E-2</v>
      </c>
      <c r="W12" s="41">
        <f t="shared" ca="1" si="13"/>
        <v>0.11180339887498948</v>
      </c>
      <c r="X12" s="36">
        <f t="shared" ca="1" si="14"/>
        <v>-0.21913466179497937</v>
      </c>
      <c r="Y12" s="36">
        <f t="shared" ca="1" si="15"/>
        <v>0.21913466179497937</v>
      </c>
      <c r="AC12" s="42">
        <v>11</v>
      </c>
      <c r="AD12" s="43">
        <f t="shared" si="0"/>
        <v>0.61756181735832893</v>
      </c>
      <c r="AE12" s="45">
        <f>AP12</f>
        <v>-0.14834311916560644</v>
      </c>
      <c r="AF12" s="45">
        <f>AF11-(AO11*AP12)</f>
        <v>1.3508022773519741</v>
      </c>
      <c r="AG12" s="45">
        <f>AG11-(AN11*AP12)</f>
        <v>-0.4581333206286255</v>
      </c>
      <c r="AH12" s="45">
        <f>AH11-(AM11*AP12)</f>
        <v>-8.8424590267344949E-2</v>
      </c>
      <c r="AI12" s="31">
        <f>AI11-(AL11*AP12)</f>
        <v>5.7941770111985758E-2</v>
      </c>
      <c r="AJ12" s="31">
        <f>AJ11-(AK11*AP12)</f>
        <v>4.5017849594338761E-3</v>
      </c>
      <c r="AK12" s="31">
        <f>AK11-(AJ11*AP12)</f>
        <v>3.6836961551215353E-2</v>
      </c>
      <c r="AL12" s="31">
        <f>AL11-(AI11*AP12)</f>
        <v>-3.4625288726840897E-2</v>
      </c>
      <c r="AM12" s="31">
        <f>AM11-(AH11*AP12)</f>
        <v>-5.9721781348956865E-2</v>
      </c>
      <c r="AN12" s="31">
        <f>AN11-(AG11*AP12)</f>
        <v>-8.9451724192196269E-2</v>
      </c>
      <c r="AO12" s="31">
        <f>AO11-(AF11*AP12)</f>
        <v>0.39320161484674798</v>
      </c>
      <c r="AP12" s="44">
        <f>(AD12-(AF11*AD11+AG11*AD10+AH11*AD9+AI11*AD8+AJ11*AD7+AK11*AD6+AL11*AD5+AM11*AD4+AN11*AD3+AO11*AD2))/(1-(AF11*AD2+AG11*AD3+AH11*AD4+AI11*AD5+AJ11*AD6+AK11*AD7+AL11*AD8+AM11*AD9+AN11*AD10+AO11*AD11))</f>
        <v>-0.14834311916560644</v>
      </c>
      <c r="AQ12" s="31"/>
      <c r="AR12" s="31"/>
      <c r="AS12" s="31"/>
      <c r="AT12" s="31"/>
      <c r="AU12" s="31"/>
      <c r="AV12" s="31"/>
      <c r="AW12" s="46"/>
      <c r="AX12" s="46"/>
      <c r="AY12" s="46"/>
    </row>
    <row r="13" spans="1:51" x14ac:dyDescent="0.3">
      <c r="A13" s="27">
        <v>12</v>
      </c>
      <c r="B13" s="39">
        <v>371.14</v>
      </c>
      <c r="C13" s="28">
        <f t="shared" si="1"/>
        <v>-0.75112500000022919</v>
      </c>
      <c r="D13" s="29">
        <f>SUMPRODUCT($C$2:INDEX($C$2:$C$81,ROWS(C14:C$81)),$C14:C$81)/DEVSQ($C$2:$C$81)</f>
        <v>0.63770854856621872</v>
      </c>
      <c r="E13" s="30">
        <f>SQRT((1/COUNT($C$2:$C$81))*(1+2*SUMSQ($D$2:D13)))</f>
        <v>0.34201425008224451</v>
      </c>
      <c r="F13" s="30">
        <f t="shared" si="2"/>
        <v>-0.6703479301611992</v>
      </c>
      <c r="G13" s="30">
        <f t="shared" si="3"/>
        <v>0.6703479301611992</v>
      </c>
      <c r="H13" s="31"/>
      <c r="I13" s="31"/>
      <c r="J13" s="33">
        <f t="shared" ca="1" si="4"/>
        <v>0.52000000000003865</v>
      </c>
      <c r="K13" s="34">
        <f t="shared" ca="1" si="5"/>
        <v>55.643500000000039</v>
      </c>
      <c r="L13" s="35">
        <f ca="1">SUMPRODUCT($K$2:INDEX($K$2:$K$81,ROWS(K14:K$81)),$K14:K$81)/DEVSQ($K$2:$K$81)</f>
        <v>-2.6141472878422761E-2</v>
      </c>
      <c r="M13" s="36">
        <f ca="1">SQRT((1/COUNT($K$2:$K$81))*(1+2*SUMSQ($L$2:L13)))</f>
        <v>0.31291147886107462</v>
      </c>
      <c r="N13" s="36">
        <f t="shared" ca="1" si="6"/>
        <v>-0.61330649856770625</v>
      </c>
      <c r="O13" s="36">
        <f t="shared" ca="1" si="7"/>
        <v>0.61330649856770625</v>
      </c>
      <c r="Q13" s="37">
        <f t="shared" si="8"/>
        <v>-0.26576322465232521</v>
      </c>
      <c r="R13" s="38">
        <f t="shared" si="9"/>
        <v>0.11180339887498948</v>
      </c>
      <c r="S13" s="39">
        <f t="shared" si="10"/>
        <v>-0.21913466179497937</v>
      </c>
      <c r="T13" s="39">
        <f t="shared" si="11"/>
        <v>0.21913466179497937</v>
      </c>
      <c r="V13" s="40">
        <f t="shared" ca="1" si="12"/>
        <v>-8.2703117060492048E-2</v>
      </c>
      <c r="W13" s="41">
        <f t="shared" ca="1" si="13"/>
        <v>0.11180339887498948</v>
      </c>
      <c r="X13" s="36">
        <f t="shared" ca="1" si="14"/>
        <v>-0.21913466179497937</v>
      </c>
      <c r="Y13" s="36">
        <f t="shared" ca="1" si="15"/>
        <v>0.21913466179497937</v>
      </c>
      <c r="AC13" s="42">
        <v>12</v>
      </c>
      <c r="AD13" s="43">
        <f t="shared" si="0"/>
        <v>0.63770854856621872</v>
      </c>
      <c r="AE13" s="45">
        <f>AQ13</f>
        <v>-0.26576322465232521</v>
      </c>
      <c r="AF13" s="45">
        <f>AF12-(AP12*AQ13)</f>
        <v>1.3113781316475384</v>
      </c>
      <c r="AG13" s="45">
        <f>AG12-(AO12*AQ13)</f>
        <v>-0.35363479152845217</v>
      </c>
      <c r="AH13" s="45">
        <f>AH12-(AN12*AQ13)</f>
        <v>-0.11219756893937344</v>
      </c>
      <c r="AI13" s="31">
        <f>AI12-(AM12*AQ13)</f>
        <v>4.2069916918705888E-2</v>
      </c>
      <c r="AJ13" s="31">
        <f>AJ12-(AL12*AQ13)</f>
        <v>-4.7003434271291646E-3</v>
      </c>
      <c r="AK13" s="31">
        <f>AK12-(AK12*AQ13)</f>
        <v>4.6626871239460063E-2</v>
      </c>
      <c r="AL13" s="31">
        <f>AL12-(AJ12*AQ13)</f>
        <v>-3.3428879839330412E-2</v>
      </c>
      <c r="AM13" s="31">
        <f>AM12-(AI12*AQ13)</f>
        <v>-4.432298968193181E-2</v>
      </c>
      <c r="AN13" s="31">
        <f>AN12-(AH12*AQ13)</f>
        <v>-0.11295172844020647</v>
      </c>
      <c r="AO13" s="31">
        <f>AO12-(AG12*AQ13)</f>
        <v>0.27144662623580684</v>
      </c>
      <c r="AP13" s="31">
        <f>AP12-(AF12*AQ13)</f>
        <v>0.21065044993115878</v>
      </c>
      <c r="AQ13" s="44">
        <f>(AD13-(AF12*AD12+AG12*AD11+AH12*AD10+AI12*AD9+AJ12*AD8+AK12*AD7+AL12*AD6+AM12*AD5+AN12*AD4+AO12*AD3+AP12*AD2))/(1-(AF12*AD2+AG12*AD3+AH12*AD4+AI12*AD5+AJ12*AD6+AK12*AD7+AL12*AD8+AM12*AD9+AN12*AD10+AO12*AD11+AP12*AD12))</f>
        <v>-0.26576322465232521</v>
      </c>
      <c r="AR13" s="31"/>
      <c r="AS13" s="31"/>
      <c r="AT13" s="31"/>
      <c r="AU13" s="31"/>
      <c r="AV13" s="31"/>
      <c r="AW13" s="46"/>
      <c r="AX13" s="46"/>
      <c r="AY13" s="46"/>
    </row>
    <row r="14" spans="1:51" x14ac:dyDescent="0.3">
      <c r="A14" s="27">
        <v>13</v>
      </c>
      <c r="B14" s="39">
        <v>371</v>
      </c>
      <c r="C14" s="28">
        <f t="shared" si="1"/>
        <v>-0.89112500000021555</v>
      </c>
      <c r="D14" s="29">
        <f>SUMPRODUCT($C$2:INDEX($C$2:$C$81,ROWS(C15:C$81)),$C15:C$81)/DEVSQ($C$2:$C$81)</f>
        <v>0.58128407056019937</v>
      </c>
      <c r="E14" s="30">
        <f>SQRT((1/COUNT($C$2:$C$81))*(1+2*SUMSQ($D$2:D14)))</f>
        <v>0.3541483114833332</v>
      </c>
      <c r="F14" s="30">
        <f t="shared" si="2"/>
        <v>-0.69413069050733311</v>
      </c>
      <c r="G14" s="30">
        <f t="shared" si="3"/>
        <v>0.69413069050733311</v>
      </c>
      <c r="H14" s="31"/>
      <c r="I14" s="31"/>
      <c r="J14" s="33">
        <f t="shared" ca="1" si="4"/>
        <v>0.81999999999999318</v>
      </c>
      <c r="K14" s="34">
        <f t="shared" ca="1" si="5"/>
        <v>55.943499999999993</v>
      </c>
      <c r="L14" s="35">
        <f ca="1">SUMPRODUCT($K$2:INDEX($K$2:$K$81,ROWS(K15:K$81)),$K15:K$81)/DEVSQ($K$2:$K$81)</f>
        <v>-2.8350103789699498E-2</v>
      </c>
      <c r="M14" s="36">
        <f ca="1">SQRT((1/COUNT($K$2:$K$81))*(1+2*SUMSQ($L$2:L14)))</f>
        <v>0.31294358407330691</v>
      </c>
      <c r="N14" s="36">
        <f t="shared" ca="1" si="6"/>
        <v>-0.6133694247836815</v>
      </c>
      <c r="O14" s="36">
        <f t="shared" ca="1" si="7"/>
        <v>0.6133694247836815</v>
      </c>
      <c r="Q14" s="37">
        <f t="shared" si="8"/>
        <v>-0.25914830406669592</v>
      </c>
      <c r="R14" s="38">
        <f t="shared" si="9"/>
        <v>0.11180339887498948</v>
      </c>
      <c r="S14" s="39">
        <f t="shared" si="10"/>
        <v>-0.21913466179497937</v>
      </c>
      <c r="T14" s="39">
        <f t="shared" si="11"/>
        <v>0.21913466179497937</v>
      </c>
      <c r="V14" s="40">
        <f t="shared" ca="1" si="12"/>
        <v>0.44241830949835886</v>
      </c>
      <c r="W14" s="41">
        <f t="shared" ca="1" si="13"/>
        <v>0.11180339887498948</v>
      </c>
      <c r="X14" s="36">
        <f t="shared" ca="1" si="14"/>
        <v>-0.21913466179497937</v>
      </c>
      <c r="Y14" s="36">
        <f t="shared" ca="1" si="15"/>
        <v>0.21913466179497937</v>
      </c>
      <c r="AC14" s="42">
        <v>13</v>
      </c>
      <c r="AD14" s="43">
        <f t="shared" si="0"/>
        <v>0.58128407056019937</v>
      </c>
      <c r="AE14" s="45">
        <f>AR14</f>
        <v>-0.25914830406669592</v>
      </c>
      <c r="AF14" s="45">
        <f>AF13-(AQ13*AR14)</f>
        <v>1.2425060426955921</v>
      </c>
      <c r="AG14" s="45">
        <f>AG13-(AP13*AR14)</f>
        <v>-0.29904508467790591</v>
      </c>
      <c r="AH14" s="45">
        <f>AH13-(AO13*AR14)</f>
        <v>-4.1852636105737806E-2</v>
      </c>
      <c r="AI14" s="31">
        <f>AI13-(AN13*AR14)</f>
        <v>1.2798668052024398E-2</v>
      </c>
      <c r="AJ14" s="31">
        <f>AJ13-(AM13*AR14)</f>
        <v>-1.6186571034367457E-2</v>
      </c>
      <c r="AK14" s="31">
        <f>AK13-(AL13*AR14)</f>
        <v>3.7963833722248222E-2</v>
      </c>
      <c r="AL14" s="31">
        <f>AL13-(AK13*AR14)</f>
        <v>-2.1345605233688135E-2</v>
      </c>
      <c r="AM14" s="31">
        <f>AM13-(AJ13*AR14)</f>
        <v>-4.5541075709603376E-2</v>
      </c>
      <c r="AN14" s="31">
        <f>AN13-(AI13*AR14)</f>
        <v>-0.10204938081849704</v>
      </c>
      <c r="AO14" s="31">
        <f>AO13-(AH13*AR14)</f>
        <v>0.24237081652476203</v>
      </c>
      <c r="AP14" s="31">
        <f>AP13-(AG13*AR14)</f>
        <v>0.11900659344758083</v>
      </c>
      <c r="AQ14" s="31">
        <f>AQ13-(AF13*AR14)</f>
        <v>7.4078194154286625E-2</v>
      </c>
      <c r="AR14" s="44">
        <f>(AD14-(AF13*AD13+AG13*AD12+AH13*AD11+AI13*AD10+AJ13*AD9+AK13*AD8+AL13*AD7+AM13*AD6+AN13*AD5+AO13*AD4+AP13*AD3+AQ13*AD2))/(1-(AF13*AD2+AG13*AD3+AH13*AD4+AI13*AD5+AJ13*AD6+AK13*AD7+AL13*AD8+AM13*AD9+AN13*AD10+AO13*AD11+AP13*AD12+AQ13*AD13))</f>
        <v>-0.25914830406669592</v>
      </c>
      <c r="AS14" s="31"/>
      <c r="AT14" s="31"/>
      <c r="AU14" s="31"/>
      <c r="AV14" s="31"/>
      <c r="AW14" s="46"/>
      <c r="AX14" s="46"/>
      <c r="AY14" s="46"/>
    </row>
    <row r="15" spans="1:51" x14ac:dyDescent="0.3">
      <c r="A15" s="27">
        <v>14</v>
      </c>
      <c r="B15" s="39">
        <v>370.35</v>
      </c>
      <c r="C15" s="28">
        <f t="shared" si="1"/>
        <v>-1.5411250000001928</v>
      </c>
      <c r="D15" s="29">
        <f>SUMPRODUCT($C$2:INDEX($C$2:$C$81,ROWS(C16:C$81)),$C16:C$81)/DEVSQ($C$2:$C$81)</f>
        <v>0.47073840431812047</v>
      </c>
      <c r="E15" s="30">
        <f>SQRT((1/COUNT($C$2:$C$81))*(1+2*SUMSQ($D$2:D15)))</f>
        <v>0.36188519264954072</v>
      </c>
      <c r="F15" s="30">
        <f t="shared" si="2"/>
        <v>-0.70929497759309978</v>
      </c>
      <c r="G15" s="30">
        <f t="shared" si="3"/>
        <v>0.70929497759309978</v>
      </c>
      <c r="H15" s="31"/>
      <c r="I15" s="31"/>
      <c r="J15" s="33">
        <f t="shared" ca="1" si="4"/>
        <v>1.3499999999999659</v>
      </c>
      <c r="K15" s="34">
        <f t="shared" ca="1" si="5"/>
        <v>56.473499999999966</v>
      </c>
      <c r="L15" s="35">
        <f ca="1">SUMPRODUCT($K$2:INDEX($K$2:$K$81,ROWS(K16:K$81)),$K16:K$81)/DEVSQ($K$2:$K$81)</f>
        <v>-3.0726781821075928E-2</v>
      </c>
      <c r="M15" s="36">
        <f ca="1">SQRT((1/COUNT($K$2:$K$81))*(1+2*SUMSQ($L$2:L15)))</f>
        <v>0.31298129367531519</v>
      </c>
      <c r="N15" s="36">
        <f t="shared" ca="1" si="6"/>
        <v>-0.61344333560361775</v>
      </c>
      <c r="O15" s="36">
        <f t="shared" ca="1" si="7"/>
        <v>0.61344333560361775</v>
      </c>
      <c r="Q15" s="37">
        <f t="shared" si="8"/>
        <v>-7.1769407388785289E-2</v>
      </c>
      <c r="R15" s="38">
        <f t="shared" si="9"/>
        <v>0.11180339887498948</v>
      </c>
      <c r="S15" s="39">
        <f t="shared" si="10"/>
        <v>-0.21913466179497937</v>
      </c>
      <c r="T15" s="39">
        <f t="shared" si="11"/>
        <v>0.21913466179497937</v>
      </c>
      <c r="V15" s="40">
        <f t="shared" ca="1" si="12"/>
        <v>-3.1090926123126417E-2</v>
      </c>
      <c r="W15" s="41">
        <f t="shared" ca="1" si="13"/>
        <v>0.11180339887498948</v>
      </c>
      <c r="X15" s="36">
        <f t="shared" ca="1" si="14"/>
        <v>-0.21913466179497937</v>
      </c>
      <c r="Y15" s="36">
        <f t="shared" ca="1" si="15"/>
        <v>0.21913466179497937</v>
      </c>
      <c r="AC15" s="42">
        <v>14</v>
      </c>
      <c r="AD15" s="43">
        <f t="shared" si="0"/>
        <v>0.47073840431812047</v>
      </c>
      <c r="AE15" s="45">
        <f>AS15</f>
        <v>-7.1769407388785289E-2</v>
      </c>
      <c r="AF15" s="45">
        <f>AF14-(AR14*AS15)</f>
        <v>1.2239071224869165</v>
      </c>
      <c r="AG15" s="45">
        <f>AG14-(AQ14*AS15)</f>
        <v>-0.29372853658302139</v>
      </c>
      <c r="AH15" s="45">
        <f>AH14-(AP14*AS15)</f>
        <v>-3.3311603418646835E-2</v>
      </c>
      <c r="AI15" s="31">
        <f>AI14-(AO14*AS15)</f>
        <v>3.0193477922342577E-2</v>
      </c>
      <c r="AJ15" s="31">
        <f>AJ14-(AN14*AS15)</f>
        <v>-2.3510594620103464E-2</v>
      </c>
      <c r="AK15" s="31">
        <f>AK14-(AM14*AS15)</f>
        <v>3.469537770672218E-2</v>
      </c>
      <c r="AL15" s="31">
        <f>AL14-(AL14*AS15)</f>
        <v>-2.2877566671664885E-2</v>
      </c>
      <c r="AM15" s="31">
        <f>AM14-(AK14*AS15)</f>
        <v>-4.2816433861151242E-2</v>
      </c>
      <c r="AN15" s="31">
        <f>AN14-(AJ14*AS15)</f>
        <v>-0.10321108142929007</v>
      </c>
      <c r="AO15" s="31">
        <f>AO14-(AI14*AS15)</f>
        <v>0.24328936934622158</v>
      </c>
      <c r="AP15" s="31">
        <f>AP14-(AH14*AS15)</f>
        <v>0.11600285455661355</v>
      </c>
      <c r="AQ15" s="31">
        <f>AQ14-(AG14*AS15)</f>
        <v>5.2615905644424199E-2</v>
      </c>
      <c r="AR15" s="31">
        <f>AR14-(AF14*AS15)</f>
        <v>-0.16997438170544854</v>
      </c>
      <c r="AS15" s="44">
        <f>(AD15-(AF14*AD14+AG14*AD13+AH14*AD12+AI14*AD11+AJ14*AD10+AK14*AD9+AL14*AD8+AM14*AD7+AN14*AD6+AO14*AD5+AP14*AD4+AQ14*AD3+AR14*AD2))/(1-(AF14*AD2+AG14*AD3+AH14*AD4+AI14*AD5+AJ14*AD6+AK14*AD7+AL14*AD8+AM14*AD9+AN14*AD10+AO14*AD11+AP14*AD12+AQ14*AD13+AR14*AD14))</f>
        <v>-7.1769407388785289E-2</v>
      </c>
      <c r="AT15" s="31"/>
      <c r="AU15" s="31"/>
      <c r="AV15" s="31"/>
      <c r="AW15" s="46"/>
      <c r="AX15" s="46"/>
      <c r="AY15" s="46"/>
    </row>
    <row r="16" spans="1:51" x14ac:dyDescent="0.3">
      <c r="A16" s="27">
        <v>15</v>
      </c>
      <c r="B16" s="39">
        <v>369.27</v>
      </c>
      <c r="C16" s="28">
        <f t="shared" si="1"/>
        <v>-2.6211250000002337</v>
      </c>
      <c r="D16" s="29">
        <f>SUMPRODUCT($C$2:INDEX($C$2:$C$81,ROWS(C17:C$81)),$C17:C$81)/DEVSQ($C$2:$C$81)</f>
        <v>0.34783068793566346</v>
      </c>
      <c r="E16" s="30">
        <f>SQRT((1/COUNT($C$2:$C$81))*(1+2*SUMSQ($D$2:D16)))</f>
        <v>0.36604036300077641</v>
      </c>
      <c r="F16" s="30">
        <f t="shared" si="2"/>
        <v>-0.71743911148152173</v>
      </c>
      <c r="G16" s="30">
        <f t="shared" si="3"/>
        <v>0.71743911148152173</v>
      </c>
      <c r="H16" s="31"/>
      <c r="I16" s="31"/>
      <c r="J16" s="33">
        <f t="shared" ca="1" si="4"/>
        <v>0.85000000000002274</v>
      </c>
      <c r="K16" s="34">
        <f t="shared" ca="1" si="5"/>
        <v>55.973500000000023</v>
      </c>
      <c r="L16" s="35">
        <f ca="1">SUMPRODUCT($K$2:INDEX($K$2:$K$81,ROWS(K17:K$81)),$K17:K$81)/DEVSQ($K$2:$K$81)</f>
        <v>-3.3267029273919189E-2</v>
      </c>
      <c r="M16" s="36">
        <f ca="1">SQRT((1/COUNT($K$2:$K$81))*(1+2*SUMSQ($L$2:L16)))</f>
        <v>0.31302549029047411</v>
      </c>
      <c r="N16" s="36">
        <f t="shared" ca="1" si="6"/>
        <v>-0.61352996096932921</v>
      </c>
      <c r="O16" s="36">
        <f t="shared" ca="1" si="7"/>
        <v>0.61352996096932921</v>
      </c>
      <c r="Q16" s="37">
        <f t="shared" si="8"/>
        <v>8.4144716468865913E-2</v>
      </c>
      <c r="R16" s="38">
        <f t="shared" si="9"/>
        <v>0.11180339887498948</v>
      </c>
      <c r="S16" s="39">
        <f t="shared" si="10"/>
        <v>-0.21913466179497937</v>
      </c>
      <c r="T16" s="39">
        <f t="shared" si="11"/>
        <v>0.21913466179497937</v>
      </c>
      <c r="V16" s="40">
        <f t="shared" ca="1" si="12"/>
        <v>-3.2425020837149626E-2</v>
      </c>
      <c r="W16" s="41">
        <f t="shared" ca="1" si="13"/>
        <v>0.11180339887498948</v>
      </c>
      <c r="X16" s="36">
        <f t="shared" ca="1" si="14"/>
        <v>-0.21913466179497937</v>
      </c>
      <c r="Y16" s="36">
        <f t="shared" ca="1" si="15"/>
        <v>0.21913466179497937</v>
      </c>
      <c r="AC16" s="42">
        <v>15</v>
      </c>
      <c r="AD16" s="43">
        <f t="shared" si="0"/>
        <v>0.34783068793566346</v>
      </c>
      <c r="AE16" s="45">
        <f>AT16</f>
        <v>8.4144716468865913E-2</v>
      </c>
      <c r="AF16" s="45">
        <f>AF15-(AS15*AT16)</f>
        <v>1.2299461389227844</v>
      </c>
      <c r="AG16" s="45">
        <f>AG15-(AR15*AT16)</f>
        <v>-0.27942609042744565</v>
      </c>
      <c r="AH16" s="45">
        <f>AH15-(AQ15*AT16)</f>
        <v>-3.773895388084951E-2</v>
      </c>
      <c r="AI16" s="31">
        <f>AI15-(AP15*AT16)</f>
        <v>2.0432450616097241E-2</v>
      </c>
      <c r="AJ16" s="31">
        <f>AJ15-(AO15*AT16)</f>
        <v>-4.3982109623630479E-2</v>
      </c>
      <c r="AK16" s="31">
        <f>AK15-(AN15*AT16)</f>
        <v>4.3380044890034823E-2</v>
      </c>
      <c r="AL16" s="31">
        <f>AL15-(AM15*AT16)</f>
        <v>-1.9274789984210363E-2</v>
      </c>
      <c r="AM16" s="31">
        <f>AM15-(AL15*AT16)</f>
        <v>-4.0891407500066423E-2</v>
      </c>
      <c r="AN16" s="31">
        <f>AN15-(AK15*AT16)</f>
        <v>-0.10613051414920242</v>
      </c>
      <c r="AO16" s="31">
        <f>AO15-(AJ15*AT16)</f>
        <v>0.24526766166454464</v>
      </c>
      <c r="AP16" s="31">
        <f>AP15-(AI15*AT16)</f>
        <v>0.11346223291762907</v>
      </c>
      <c r="AQ16" s="31">
        <f>AQ15-(AH15*AT16)</f>
        <v>5.541890106920954E-2</v>
      </c>
      <c r="AR16" s="31">
        <f>AR15-(AG15*AT16)</f>
        <v>-0.14525867727585529</v>
      </c>
      <c r="AS16" s="31">
        <f>AS15-(AF15*AT16)</f>
        <v>-0.17475472519467242</v>
      </c>
      <c r="AT16" s="44">
        <f>(AD16-(AF15*AD15+AG15*AD14+AH15*AD13+AI15*AD12+AJ15*AD11+AK15*AD10+AL15*AD9+AM15*AD8+AN15*AD7+AO15*AD6+AP15*AD5+AQ15*AD4+AR15*AD3+AS15*AD2))/(1-(AF15*AD2+AG15*AD3+AH15*AD4+AI15*AD5+AJ15*AD6+AK15*AD7+AL15*AD8+AM15*AD9+AN15*AD10+AO15*AD11+AP15*AD12+AQ15*AD13+AR15*AD14+AS15*AD15))</f>
        <v>8.4144716468865913E-2</v>
      </c>
      <c r="AU16" s="31"/>
      <c r="AV16" s="31"/>
      <c r="AW16" s="46"/>
      <c r="AX16" s="46"/>
      <c r="AY16" s="46"/>
    </row>
    <row r="17" spans="1:51" x14ac:dyDescent="0.3">
      <c r="A17" s="27">
        <v>16</v>
      </c>
      <c r="B17" s="39">
        <v>366.94</v>
      </c>
      <c r="C17" s="28">
        <f t="shared" si="1"/>
        <v>-4.9511250000002178</v>
      </c>
      <c r="D17" s="29">
        <f>SUMPRODUCT($C$2:INDEX($C$2:$C$81,ROWS(C18:C$81)),$C18:C$81)/DEVSQ($C$2:$C$81)</f>
        <v>0.24211223371912835</v>
      </c>
      <c r="E17" s="30">
        <f>SQRT((1/COUNT($C$2:$C$81))*(1+2*SUMSQ($D$2:D17)))</f>
        <v>0.3680366906826707</v>
      </c>
      <c r="F17" s="30">
        <f t="shared" si="2"/>
        <v>-0.72135191373803453</v>
      </c>
      <c r="G17" s="30">
        <f t="shared" si="3"/>
        <v>0.72135191373803453</v>
      </c>
      <c r="H17" s="31"/>
      <c r="I17" s="31"/>
      <c r="J17" s="33">
        <f t="shared" ca="1" si="4"/>
        <v>1.1800000000000068</v>
      </c>
      <c r="K17" s="34">
        <f t="shared" ca="1" si="5"/>
        <v>56.303500000000007</v>
      </c>
      <c r="L17" s="35">
        <f ca="1">SUMPRODUCT($K$2:INDEX($K$2:$K$81,ROWS(K18:K$81)),$K18:K$81)/DEVSQ($K$2:$K$81)</f>
        <v>-3.573336164961452E-2</v>
      </c>
      <c r="M17" s="36">
        <f ca="1">SQRT((1/COUNT($K$2:$K$81))*(1+2*SUMSQ($L$2:L17)))</f>
        <v>0.31307647532186322</v>
      </c>
      <c r="N17" s="36">
        <f t="shared" ca="1" si="6"/>
        <v>-0.61362989163085191</v>
      </c>
      <c r="O17" s="36">
        <f t="shared" ca="1" si="7"/>
        <v>0.61362989163085191</v>
      </c>
      <c r="Q17" s="37">
        <f t="shared" si="8"/>
        <v>6.0251233141423687E-2</v>
      </c>
      <c r="R17" s="38">
        <f t="shared" si="9"/>
        <v>0.11180339887498948</v>
      </c>
      <c r="S17" s="39">
        <f t="shared" si="10"/>
        <v>-0.21913466179497937</v>
      </c>
      <c r="T17" s="39">
        <f t="shared" si="11"/>
        <v>0.21913466179497937</v>
      </c>
      <c r="V17" s="40">
        <f t="shared" ca="1" si="12"/>
        <v>-3.4990904092403664E-2</v>
      </c>
      <c r="W17" s="41">
        <f t="shared" ca="1" si="13"/>
        <v>0.11180339887498948</v>
      </c>
      <c r="X17" s="36">
        <f t="shared" ca="1" si="14"/>
        <v>-0.21913466179497937</v>
      </c>
      <c r="Y17" s="36">
        <f t="shared" ca="1" si="15"/>
        <v>0.21913466179497937</v>
      </c>
      <c r="AC17" s="42">
        <v>16</v>
      </c>
      <c r="AD17" s="43">
        <f t="shared" si="0"/>
        <v>0.24211223371912835</v>
      </c>
      <c r="AE17" s="45">
        <f>AU17</f>
        <v>6.0251233141423687E-2</v>
      </c>
      <c r="AF17" s="45">
        <f>AF16-(AT16*AU17)</f>
        <v>1.2248763159931997</v>
      </c>
      <c r="AG17" s="45">
        <f>AG16-(AS16*AU17)</f>
        <v>-0.26889690273717604</v>
      </c>
      <c r="AH17" s="45">
        <f>AH16-(AR16*AU17)</f>
        <v>-2.898693945048713E-2</v>
      </c>
      <c r="AI17" s="31">
        <f>AI16-(AQ16*AU17)</f>
        <v>1.7093393487334803E-2</v>
      </c>
      <c r="AJ17" s="31">
        <f>AJ16-(AP16*AU17)</f>
        <v>-5.0818349071897063E-2</v>
      </c>
      <c r="AK17" s="31">
        <f>AK16-(AO16*AU17)</f>
        <v>2.8602365825032519E-2</v>
      </c>
      <c r="AL17" s="31">
        <f>AL16-(AN16*AU17)</f>
        <v>-1.2880295632787604E-2</v>
      </c>
      <c r="AM17" s="31">
        <f>AM16-(AM16*AU17)</f>
        <v>-3.8427649773298961E-2</v>
      </c>
      <c r="AN17" s="31">
        <f>AN16-(AL16*AU17)</f>
        <v>-0.10496918428411178</v>
      </c>
      <c r="AO17" s="31">
        <f>AO16-(AK16*AU17)</f>
        <v>0.24265396046618973</v>
      </c>
      <c r="AP17" s="31">
        <f>AP16-(AJ16*AU17)</f>
        <v>0.11611220925861408</v>
      </c>
      <c r="AQ17" s="31">
        <f>AQ16-(AI16*AU17)</f>
        <v>5.418782072348844E-2</v>
      </c>
      <c r="AR17" s="31">
        <f>AR16-(AH16*AU17)</f>
        <v>-0.14298485876706679</v>
      </c>
      <c r="AS17" s="31">
        <f>AS16-(AG16*AU17)</f>
        <v>-0.15791895867453185</v>
      </c>
      <c r="AT17" s="31">
        <f>AT16-(AF16*AU17)</f>
        <v>1.0038944901235344E-2</v>
      </c>
      <c r="AU17" s="44">
        <f>(AD17-(AF16*AD16+AG16*AD15+AH16*AD14+AI16*AD13+AJ16*AD12+AK16*AD11+AL16*AD10+AM16*AD9+AN16*AD8+AO16*AD7+AP16*AD6+AQ16*AD5+AR16*AD4+AS16*AD3+AT16*AD2))/(1-(AF16*AD2+AG16*AD3+AH16*AD4+AI16*AD5+AJ16*AD6+AK16*AD7+AL16*AD8+AM16*AD9+AN16*AD10+AO16*AD11+AP16*AD12+AQ16*AD13+AR16*AD14+AS16*AD15+AT16*AD16))</f>
        <v>6.0251233141423687E-2</v>
      </c>
      <c r="AV17" s="31"/>
      <c r="AW17" s="46"/>
      <c r="AX17" s="46"/>
      <c r="AY17" s="46"/>
    </row>
    <row r="18" spans="1:51" x14ac:dyDescent="0.3">
      <c r="A18" s="27">
        <v>17</v>
      </c>
      <c r="B18" s="39">
        <v>364.63</v>
      </c>
      <c r="C18" s="28">
        <f t="shared" si="1"/>
        <v>-7.2611250000002201</v>
      </c>
      <c r="D18" s="29">
        <f>SUMPRODUCT($C$2:INDEX($C$2:$C$81,ROWS(C19:C$81)),$C19:C$81)/DEVSQ($C$2:$C$81)</f>
        <v>0.15933837608028129</v>
      </c>
      <c r="E18" s="30">
        <f>SQRT((1/COUNT($C$2:$C$81))*(1+2*SUMSQ($D$2:D18)))</f>
        <v>0.36889798541188773</v>
      </c>
      <c r="F18" s="30">
        <f t="shared" si="2"/>
        <v>-0.72304005140729999</v>
      </c>
      <c r="G18" s="30">
        <f t="shared" si="3"/>
        <v>0.72304005140729999</v>
      </c>
      <c r="H18" s="31"/>
      <c r="I18" s="31"/>
      <c r="J18" s="33">
        <f t="shared" ca="1" si="4"/>
        <v>1.9900000000000091</v>
      </c>
      <c r="K18" s="34">
        <f t="shared" ca="1" si="5"/>
        <v>57.113500000000009</v>
      </c>
      <c r="L18" s="35">
        <f ca="1">SUMPRODUCT($K$2:INDEX($K$2:$K$81,ROWS(K19:K$81)),$K19:K$81)/DEVSQ($K$2:$K$81)</f>
        <v>-3.8360263615366694E-2</v>
      </c>
      <c r="M18" s="36">
        <f ca="1">SQRT((1/COUNT($K$2:$K$81))*(1+2*SUMSQ($L$2:L18)))</f>
        <v>0.31313522182210235</v>
      </c>
      <c r="N18" s="36">
        <f t="shared" ca="1" si="6"/>
        <v>-0.61374503477132059</v>
      </c>
      <c r="O18" s="36">
        <f t="shared" ca="1" si="7"/>
        <v>0.61374503477132059</v>
      </c>
      <c r="Q18" s="37">
        <f t="shared" si="8"/>
        <v>-5.3618783587989542E-2</v>
      </c>
      <c r="R18" s="38">
        <f t="shared" si="9"/>
        <v>0.11180339887498948</v>
      </c>
      <c r="S18" s="39">
        <f t="shared" si="10"/>
        <v>-0.21913466179497937</v>
      </c>
      <c r="T18" s="39">
        <f t="shared" si="11"/>
        <v>0.21913466179497937</v>
      </c>
      <c r="V18" s="40">
        <f t="shared" ca="1" si="12"/>
        <v>-3.8825486563157423E-2</v>
      </c>
      <c r="W18" s="41">
        <f t="shared" ca="1" si="13"/>
        <v>0.11180339887498948</v>
      </c>
      <c r="X18" s="36">
        <f t="shared" ca="1" si="14"/>
        <v>-0.21913466179497937</v>
      </c>
      <c r="Y18" s="36">
        <f t="shared" ca="1" si="15"/>
        <v>0.21913466179497937</v>
      </c>
      <c r="AC18" s="42">
        <v>17</v>
      </c>
      <c r="AD18" s="43">
        <f t="shared" si="0"/>
        <v>0.15933837608028129</v>
      </c>
      <c r="AE18" s="45">
        <f>AV18</f>
        <v>-5.3618783587989542E-2</v>
      </c>
      <c r="AF18" s="45">
        <f>AF17-(AU17*AV18)</f>
        <v>1.2281069138239191</v>
      </c>
      <c r="AG18" s="45">
        <f>AG17-(AT17*AV18)</f>
        <v>-0.26835862672306493</v>
      </c>
      <c r="AH18" s="45">
        <f>AH17-(AS17*AV18)</f>
        <v>-3.7454361920097518E-2</v>
      </c>
      <c r="AI18" s="31">
        <f>AI17-(AR17*AV18)</f>
        <v>9.4267192887441988E-3</v>
      </c>
      <c r="AJ18" s="31">
        <f>AJ17-(AQ17*AV18)</f>
        <v>-4.7912864039419564E-2</v>
      </c>
      <c r="AK18" s="31">
        <f>AK17-(AP17*AV18)</f>
        <v>3.4828161245193501E-2</v>
      </c>
      <c r="AL18" s="31">
        <f>AL17-(AO17*AV18)</f>
        <v>1.3051456021759278E-4</v>
      </c>
      <c r="AM18" s="31">
        <f>AM17-(AN17*AV18)</f>
        <v>-4.4055969748836542E-2</v>
      </c>
      <c r="AN18" s="31">
        <f>AN17-(AM17*AV18)</f>
        <v>-0.10702962812110135</v>
      </c>
      <c r="AO18" s="31">
        <f>AO17-(AL17*AV18)</f>
        <v>0.24196333468210596</v>
      </c>
      <c r="AP18" s="31">
        <f>AP17-(AK17*AV18)</f>
        <v>0.11764583332189101</v>
      </c>
      <c r="AQ18" s="31">
        <f>AQ17-(AJ17*AV18)</f>
        <v>5.1463002662303484E-2</v>
      </c>
      <c r="AR18" s="31">
        <f>AR17-(AI17*AV18)</f>
        <v>-0.14206833180088504</v>
      </c>
      <c r="AS18" s="31">
        <f>AS17-(AH17*AV18)</f>
        <v>-0.15947320310780566</v>
      </c>
      <c r="AT18" s="31">
        <f>AT17-(AG17*AV18)</f>
        <v>-4.3789799341099698E-3</v>
      </c>
      <c r="AU18" s="31">
        <f>AU17-(AF17*AV18)</f>
        <v>0.12592761125071694</v>
      </c>
      <c r="AV18" s="44">
        <f>(AD18-(AF17*AD17+AG17*AD16+AH17*AD15+AI17*AD14+AJ17*AD13+AK17*AD12+AL17*AD11+AM17*AD10+AN17*AD9+AO17*AD8+AP17*AD7+AQ17*AD6+AR17*AD5+AS17*AD4+AT17*AD3+AU17*AD2))/(1-(AF17*AD2+AG17*AD3+AH17*AD4+AI17*AD5+AJ17*AD6+AK17*AD7+AL17*AD8+AM17*AD9+AN17*AD10+AO17*AD11+AP17*AD12+AQ17*AD13+AR17*AD14+AS17*AD15+AT17*AD16+AU17*AD17))</f>
        <v>-5.3618783587989542E-2</v>
      </c>
      <c r="AW18" s="46"/>
      <c r="AX18" s="46"/>
      <c r="AY18" s="46"/>
    </row>
    <row r="19" spans="1:51" x14ac:dyDescent="0.3">
      <c r="A19" s="27">
        <v>18</v>
      </c>
      <c r="B19" s="39">
        <v>365.12</v>
      </c>
      <c r="C19" s="28">
        <f t="shared" si="1"/>
        <v>-6.771125000000211</v>
      </c>
      <c r="D19" s="29">
        <f>SUMPRODUCT($C$2:INDEX($C$2:$C$81,ROWS(C20:C$81)),$C20:C$81)/DEVSQ($C$2:$C$81)</f>
        <v>0.10220704106201509</v>
      </c>
      <c r="E19" s="30">
        <f>SQRT((1/COUNT($C$2:$C$81))*(1+2*SUMSQ($D$2:D19)))</f>
        <v>0.36925178485962074</v>
      </c>
      <c r="F19" s="30">
        <f t="shared" si="2"/>
        <v>-0.72373349832485667</v>
      </c>
      <c r="G19" s="30">
        <f t="shared" si="3"/>
        <v>0.72373349832485667</v>
      </c>
      <c r="H19" s="31"/>
      <c r="I19" s="31"/>
      <c r="J19" s="33">
        <f t="shared" ca="1" si="4"/>
        <v>1.6100000000000136</v>
      </c>
      <c r="K19" s="34">
        <f t="shared" ca="1" si="5"/>
        <v>56.733500000000014</v>
      </c>
      <c r="L19" s="35">
        <f ca="1">SUMPRODUCT($K$2:INDEX($K$2:$K$81,ROWS(K20:K$81)),$K20:K$81)/DEVSQ($K$2:$K$81)</f>
        <v>-4.0909177490718485E-2</v>
      </c>
      <c r="M19" s="36">
        <f ca="1">SQRT((1/COUNT($K$2:$K$81))*(1+2*SUMSQ($L$2:L19)))</f>
        <v>0.31320202133072422</v>
      </c>
      <c r="N19" s="36">
        <f t="shared" ca="1" si="6"/>
        <v>-0.61387596180821946</v>
      </c>
      <c r="O19" s="36">
        <f t="shared" ca="1" si="7"/>
        <v>0.61387596180821946</v>
      </c>
      <c r="Q19" s="37">
        <f t="shared" si="8"/>
        <v>-5.413897731990288E-2</v>
      </c>
      <c r="R19" s="38">
        <f t="shared" si="9"/>
        <v>0.11180339887498948</v>
      </c>
      <c r="S19" s="39">
        <f t="shared" si="10"/>
        <v>-0.21913466179497937</v>
      </c>
      <c r="T19" s="39">
        <f t="shared" si="11"/>
        <v>0.21913466179497937</v>
      </c>
      <c r="V19" s="40">
        <f t="shared" ca="1" si="12"/>
        <v>-3.9555609636435438E-3</v>
      </c>
      <c r="W19" s="41">
        <f t="shared" ca="1" si="13"/>
        <v>0.11180339887498948</v>
      </c>
      <c r="X19" s="36">
        <f t="shared" ca="1" si="14"/>
        <v>-0.21913466179497937</v>
      </c>
      <c r="Y19" s="36">
        <f t="shared" ca="1" si="15"/>
        <v>0.21913466179497937</v>
      </c>
      <c r="AC19" s="49">
        <v>18</v>
      </c>
      <c r="AD19" s="43">
        <f t="shared" si="0"/>
        <v>0.10220704106201509</v>
      </c>
      <c r="AE19" s="45">
        <f t="shared" ref="AE19:AE21" si="16">AV19</f>
        <v>-5.413897731990288E-2</v>
      </c>
      <c r="AF19" s="45">
        <f>AF18-(AV18*AW19)</f>
        <v>1.2281296253279594</v>
      </c>
      <c r="AG19" s="45">
        <f>AG18-(AU18*AW19)</f>
        <v>-0.26841196634139136</v>
      </c>
      <c r="AH19" s="45">
        <f>AH18-(AT18*AW19)</f>
        <v>-3.7452507099569876E-2</v>
      </c>
      <c r="AI19" s="31">
        <f>AI18-(AS18*AW19)</f>
        <v>9.4942679359597115E-3</v>
      </c>
      <c r="AJ19" s="31">
        <f>AJ18-(AR18*AW19)</f>
        <v>-4.7852687637125649E-2</v>
      </c>
      <c r="AK19" s="31">
        <f>AK18-(AQ18*AW19)</f>
        <v>3.4806362873155181E-2</v>
      </c>
      <c r="AL19" s="31">
        <f>AL18-(AP18*AW19)</f>
        <v>8.0682884822804148E-5</v>
      </c>
      <c r="AM19" s="31">
        <f>AM18-(AO18*AW19)</f>
        <v>-4.4158459042429529E-2</v>
      </c>
      <c r="AN19" s="31">
        <f>AN18-(AN18*AW19)</f>
        <v>-0.10698429319052576</v>
      </c>
      <c r="AO19" s="31">
        <f>AO18-(AM18*AW19)</f>
        <v>0.24198199563015432</v>
      </c>
      <c r="AP19" s="31">
        <f>AP18-(AL18*AW19)</f>
        <v>0.11764577803936195</v>
      </c>
      <c r="AQ19" s="31">
        <f>AQ18-(AK18*AW19)</f>
        <v>5.1448250370813318E-2</v>
      </c>
      <c r="AR19" s="31">
        <f>AR18-(AJ18*AW19)</f>
        <v>-0.1420480371740323</v>
      </c>
      <c r="AS19" s="31">
        <f>AS18-(AI18*AW19)</f>
        <v>-0.15947719601773175</v>
      </c>
      <c r="AT19" s="31">
        <f>AT18-(AH18*AW19)</f>
        <v>-4.3631152532061035E-3</v>
      </c>
      <c r="AU19" s="31">
        <f>AU18-(AG18*AW19)</f>
        <v>0.12604128089458497</v>
      </c>
      <c r="AV19" s="50">
        <f>AV18-(AF18*AW19)</f>
        <v>-5.413897731990288E-2</v>
      </c>
      <c r="AW19" s="44">
        <f>(AD19-(AF18*AD18+AG18*AD17+AH18*AD16+AI18*AD15+AJ18*AD14+AK18*AD13+AL18*AD12+AM18*AD11+AN18*AD10+AO18*AD9+AP18*AD8+AQ18*AD7+AR18*AD6+AS18*AD5+AT18*AD4+AU18*AD3+AV18*AD2))/(1-(AF18*AD2+AG18*AD3+AH18*AD4+AI18*AD5+AJ18*AD6+AK18*AD7+AL18*AD8+AM18*AD9+AN18*AD10+AO18*AD11+AP18*AD12+AQ18*AD13+AR18*AD14+AS18*AD15+AT18*AD16+AU18*AD17+AV18*AD18))</f>
        <v>4.2357365312245342E-4</v>
      </c>
      <c r="AX19" s="46"/>
      <c r="AY19" s="46"/>
    </row>
    <row r="20" spans="1:51" x14ac:dyDescent="0.3">
      <c r="A20" s="27">
        <v>19</v>
      </c>
      <c r="B20" s="39">
        <v>366.67</v>
      </c>
      <c r="C20" s="28">
        <f t="shared" si="1"/>
        <v>-5.2211250000001996</v>
      </c>
      <c r="D20" s="29">
        <f>SUMPRODUCT($C$2:INDEX($C$2:$C$81,ROWS(C21:C$81)),$C21:C$81)/DEVSQ($C$2:$C$81)</f>
        <v>7.2748198519509644E-2</v>
      </c>
      <c r="E20" s="30">
        <f>SQRT((1/COUNT($C$2:$C$81))*(1+2*SUMSQ($D$2:D20)))</f>
        <v>0.36943089764083281</v>
      </c>
      <c r="F20" s="30">
        <f t="shared" si="2"/>
        <v>-0.72408455937603233</v>
      </c>
      <c r="G20" s="30">
        <f t="shared" si="3"/>
        <v>0.72408455937603233</v>
      </c>
      <c r="H20" s="31"/>
      <c r="J20" s="33">
        <f t="shared" ca="1" si="4"/>
        <v>1.6200000000000045</v>
      </c>
      <c r="K20" s="34">
        <f t="shared" ca="1" si="5"/>
        <v>56.743500000000004</v>
      </c>
      <c r="L20" s="35">
        <f ca="1">SUMPRODUCT($K$2:INDEX($K$2:$K$81,ROWS(K21:K$81)),$K21:K$81)/DEVSQ($K$2:$K$81)</f>
        <v>-4.3431016069206567E-2</v>
      </c>
      <c r="M20" s="36">
        <f ca="1">SQRT((1/COUNT($K$2:$K$81))*(1+2*SUMSQ($L$2:L20)))</f>
        <v>0.31327729329552684</v>
      </c>
      <c r="N20" s="36">
        <f t="shared" ca="1" si="6"/>
        <v>-0.61402349485923258</v>
      </c>
      <c r="O20" s="36">
        <f t="shared" ca="1" si="7"/>
        <v>0.61402349485923258</v>
      </c>
      <c r="Q20" s="37">
        <f t="shared" si="8"/>
        <v>-5.9942428487673033E-2</v>
      </c>
      <c r="R20" s="38">
        <f t="shared" si="9"/>
        <v>0.11180339887498948</v>
      </c>
      <c r="S20" s="39">
        <f t="shared" si="10"/>
        <v>-0.21913466179497937</v>
      </c>
      <c r="T20" s="39">
        <f t="shared" si="11"/>
        <v>0.21913466179497937</v>
      </c>
      <c r="V20" s="40">
        <f t="shared" ca="1" si="12"/>
        <v>-3.9498066841337463E-3</v>
      </c>
      <c r="W20" s="41">
        <f t="shared" ca="1" si="13"/>
        <v>0.11180339887498948</v>
      </c>
      <c r="X20" s="36">
        <f t="shared" ca="1" si="14"/>
        <v>-0.21913466179497937</v>
      </c>
      <c r="Y20" s="36">
        <f t="shared" ca="1" si="15"/>
        <v>0.21913466179497937</v>
      </c>
      <c r="AC20" s="49">
        <v>19</v>
      </c>
      <c r="AD20" s="43">
        <f t="shared" si="0"/>
        <v>7.2748198519509644E-2</v>
      </c>
      <c r="AE20" s="45">
        <f t="shared" si="16"/>
        <v>-5.9942428487673033E-2</v>
      </c>
      <c r="AF20" s="45">
        <f>AF19-(AW19*AX20)</f>
        <v>1.2281387835970388</v>
      </c>
      <c r="AG20" s="45">
        <f>AG19-(AV19*AX20)</f>
        <v>-0.26958252857612219</v>
      </c>
      <c r="AH20" s="45">
        <f>AH19-(AU19*AX20)</f>
        <v>-3.4727314073471446E-2</v>
      </c>
      <c r="AI20" s="31">
        <f>AI19-(AT19*AX20)</f>
        <v>9.3999311347489605E-3</v>
      </c>
      <c r="AJ20" s="31">
        <f>AJ19-(AS19*AX20)</f>
        <v>-5.1300813039570098E-2</v>
      </c>
      <c r="AK20" s="31">
        <f>AK19-(AR19*AX20)</f>
        <v>3.1735080849280776E-2</v>
      </c>
      <c r="AL20" s="31">
        <f>AL19-(AP19*AX20)</f>
        <v>2.6243531140307547E-3</v>
      </c>
      <c r="AM20" s="31">
        <f>AM19-(AP19*AX20)</f>
        <v>-4.161478881322158E-2</v>
      </c>
      <c r="AN20" s="31">
        <f>AN19-(AO19*AX20)</f>
        <v>-0.10175229584606678</v>
      </c>
      <c r="AO20" s="31">
        <f>AO19-(AN19*AX20)</f>
        <v>0.23966884197418084</v>
      </c>
      <c r="AP20" s="31">
        <f>AP19-(AM19*AX20)</f>
        <v>0.11669100890522145</v>
      </c>
      <c r="AQ20" s="31">
        <f>AQ19-(AL19*AX20)</f>
        <v>5.1449994850347992E-2</v>
      </c>
      <c r="AR20" s="31">
        <f>AR19-(AK19*AX20)</f>
        <v>-0.14129547375439278</v>
      </c>
      <c r="AS20" s="31">
        <f>AS19-(AJ19*AX20)</f>
        <v>-0.16051183966545721</v>
      </c>
      <c r="AT20" s="31">
        <f>AT19-(AI19*AX20)</f>
        <v>-4.1578355814719924E-3</v>
      </c>
      <c r="AU20" s="31">
        <f>AU19-(AH19*AX20)</f>
        <v>0.12523150404660915</v>
      </c>
      <c r="AV20" s="50">
        <f>AV19-(AG19*AX20)</f>
        <v>-5.9942428487673033E-2</v>
      </c>
      <c r="AW20" s="50">
        <f>AW19-(AF19*AX20)</f>
        <v>2.6977495244000373E-2</v>
      </c>
      <c r="AX20" s="44">
        <f>(AD20-(AF19*AD19+AG19*AD18+AH19*AD17+AI19*AD16+AJ19*AD15+AK19*AD14+AL19*AD13+AM19*AD12+AN19*AD11+AO19*AD10+AP19*AD9+AQ19*AD8+AR19*AD7+AS19*AD6+AT19*AD5+AU19*AD4+AV19*AD3+AW19*AD2))/(1-(AF19*AD2+AG19*AD3+AH19*AD4+AI19*AD5+AJ19*AD6+AK19*AD7+AL19*AD8+AM19*AD9+AN19*AD10+AO19*AD11+AP19*AD12+AQ19*AD13+AR19*AD14+AS19*AD15+AT19*AD16+AU19*AD17+AV19*AD18+AW19*AD19))</f>
        <v>-2.1621432333567368E-2</v>
      </c>
      <c r="AY20" s="46"/>
    </row>
    <row r="21" spans="1:51" x14ac:dyDescent="0.3">
      <c r="A21" s="27">
        <v>20</v>
      </c>
      <c r="B21" s="39">
        <v>368.01</v>
      </c>
      <c r="C21" s="28">
        <f t="shared" si="1"/>
        <v>-3.8811250000002246</v>
      </c>
      <c r="D21" s="29">
        <f>SUMPRODUCT($C$2:INDEX($C$2:$C$81,ROWS(C22:C$81)),$C22:C$81)/DEVSQ($C$2:$C$81)</f>
        <v>7.7395628727315618E-2</v>
      </c>
      <c r="E21" s="30">
        <f>SQRT((1/COUNT($C$2:$C$81))*(1+2*SUMSQ($D$2:D21)))</f>
        <v>0.36963352149847545</v>
      </c>
      <c r="F21" s="30">
        <f t="shared" si="2"/>
        <v>-0.72448170213701191</v>
      </c>
      <c r="G21" s="30">
        <f t="shared" si="3"/>
        <v>0.72448170213701191</v>
      </c>
      <c r="H21" s="31"/>
      <c r="J21" s="33">
        <f t="shared" ca="1" si="4"/>
        <v>1.5199999999999818</v>
      </c>
      <c r="K21" s="34">
        <f t="shared" ca="1" si="5"/>
        <v>56.643499999999982</v>
      </c>
      <c r="L21" s="35">
        <f ca="1">SUMPRODUCT($K$2:INDEX($K$2:$K$81,ROWS(K22:K$81)),$K22:K$81)/DEVSQ($K$2:$K$81)</f>
        <v>-4.5787226296000773E-2</v>
      </c>
      <c r="M21" s="36">
        <f ca="1">SQRT((1/COUNT($K$2:$K$81))*(1+2*SUMSQ($L$2:L21)))</f>
        <v>0.31336093286634914</v>
      </c>
      <c r="N21" s="36">
        <f t="shared" ca="1" si="6"/>
        <v>-0.6141874284180443</v>
      </c>
      <c r="O21" s="36">
        <f t="shared" ca="1" si="7"/>
        <v>0.6141874284180443</v>
      </c>
      <c r="Q21" s="37">
        <f t="shared" si="8"/>
        <v>-6.2126216597250393E-2</v>
      </c>
      <c r="R21" s="38">
        <f t="shared" si="9"/>
        <v>0.11180339887498948</v>
      </c>
      <c r="S21" s="39">
        <f t="shared" si="10"/>
        <v>-0.21913466179497937</v>
      </c>
      <c r="T21" s="39">
        <f t="shared" si="11"/>
        <v>0.21913466179497937</v>
      </c>
      <c r="V21" s="40">
        <f t="shared" ca="1" si="12"/>
        <v>-3.862682988839863E-3</v>
      </c>
      <c r="W21" s="41">
        <f t="shared" ca="1" si="13"/>
        <v>0.11180339887498948</v>
      </c>
      <c r="X21" s="36">
        <f t="shared" ca="1" si="14"/>
        <v>-0.21913466179497937</v>
      </c>
      <c r="Y21" s="36">
        <f t="shared" ca="1" si="15"/>
        <v>0.21913466179497937</v>
      </c>
      <c r="AC21" s="49">
        <v>20</v>
      </c>
      <c r="AD21" s="43">
        <f t="shared" si="0"/>
        <v>7.7395628727315618E-2</v>
      </c>
      <c r="AE21" s="45">
        <f t="shared" si="16"/>
        <v>-6.2126216597250393E-2</v>
      </c>
      <c r="AF21" s="45">
        <f>AF20-(AX20*AY21)</f>
        <v>1.2267791441287463</v>
      </c>
      <c r="AG21" s="45">
        <f>AG20-(AW20*AY21)</f>
        <v>-0.26788607911229706</v>
      </c>
      <c r="AH21" s="45">
        <f>AH20-(AV20*AY21)</f>
        <v>-3.8496726309431517E-2</v>
      </c>
      <c r="AI21" s="31">
        <f>AI20-(AU20*AG21)</f>
        <v>4.2947707735130854E-2</v>
      </c>
      <c r="AJ21" s="31">
        <f>AJ20-(AT20*AY21)</f>
        <v>-5.1562273856412606E-2</v>
      </c>
      <c r="AK21" s="31">
        <f>AK20-(AS20*AY21)</f>
        <v>2.1641474238466549E-2</v>
      </c>
      <c r="AL21" s="31">
        <f>AL20-(AP20*AY21)</f>
        <v>9.9623360401699997E-3</v>
      </c>
      <c r="AM21" s="31">
        <f>AM20-(AQ20*AY21)</f>
        <v>-3.8379413720454579E-2</v>
      </c>
      <c r="AN21" s="31">
        <f>AN20-(AP20*AY21)</f>
        <v>-9.4414312919927537E-2</v>
      </c>
      <c r="AO21" s="31">
        <f>AO20-(AO20*AY21)</f>
        <v>0.25474014769716535</v>
      </c>
      <c r="AP21" s="31">
        <f>AP20-(AN20*AY21)</f>
        <v>0.11029243015764754</v>
      </c>
      <c r="AQ21" s="31">
        <f>AQ20-(AM20*AY21)</f>
        <v>4.8833095633765367E-2</v>
      </c>
      <c r="AR21" s="31">
        <f>AR20-(AL20*AY21)</f>
        <v>-0.14113044425877364</v>
      </c>
      <c r="AS21" s="31">
        <f>AS20-(AK20*AY21)</f>
        <v>-0.1585162147787034</v>
      </c>
      <c r="AT21" s="31">
        <f>AT20-(AJ20*AY21)</f>
        <v>-7.3838295437590263E-3</v>
      </c>
      <c r="AU21" s="31">
        <f>AU20-(AI20*AY21)</f>
        <v>0.12582260814983698</v>
      </c>
      <c r="AV21" s="50">
        <f>AV20-(AH20*AY21)</f>
        <v>-6.2126216597250393E-2</v>
      </c>
      <c r="AW21" s="50">
        <f>AW20-(AF20*AY21)</f>
        <v>0.10420762213650372</v>
      </c>
      <c r="AX21" s="50">
        <f>AX20-(AF20*AY21)</f>
        <v>5.5608694558935995E-2</v>
      </c>
      <c r="AY21" s="44">
        <f>(AD21-(AF20*AD20+AG20*AD19+AH20*AD18+AI20*AD17+AJ20*AD16+AK20*AD15+AL20*AD14+AM20*AD13+AN20*AD12+AO20*AD11+AP20*AD10+AQ20*AD9+AR20*AD8+AS20*AD7+AT20*AD6+AU20*AD5+AV20*AD4+AW20*AD3+AX20*AD2))/(1-(AF20*AD2+AG20*AD3+AH20*AD4+AI20*AD5+AJ20*AD6+AK20*AD7+AL20*AD8+AM20*AD9+AN20*AD10+AO20*AD11+AP20*AD12+AQ20*AD13+AR20*AD14+AS20*AD15+AT20*AD16+AU20*AD17+AV20*AD18+AW20*AD19+AX20*AD20))</f>
        <v>-6.2883875929972355E-2</v>
      </c>
    </row>
    <row r="22" spans="1:51" x14ac:dyDescent="0.3">
      <c r="A22" s="27">
        <v>21</v>
      </c>
      <c r="B22" s="39">
        <v>369.14</v>
      </c>
      <c r="C22" s="28">
        <f t="shared" si="1"/>
        <v>-2.7511250000002292</v>
      </c>
      <c r="J22" s="33">
        <f t="shared" ca="1" si="4"/>
        <v>1.1399999999999864</v>
      </c>
      <c r="K22" s="34">
        <f t="shared" ca="1" si="5"/>
        <v>56.263499999999986</v>
      </c>
      <c r="N22" s="31"/>
    </row>
    <row r="23" spans="1:51" x14ac:dyDescent="0.3">
      <c r="A23" s="27">
        <v>22</v>
      </c>
      <c r="B23" s="39">
        <v>369.46</v>
      </c>
      <c r="C23" s="28">
        <f t="shared" si="1"/>
        <v>-2.431125000000236</v>
      </c>
      <c r="J23" s="33">
        <f t="shared" ca="1" si="4"/>
        <v>2.0400000000000205</v>
      </c>
      <c r="K23" s="34">
        <f t="shared" ca="1" si="5"/>
        <v>57.16350000000002</v>
      </c>
      <c r="N23" s="31"/>
    </row>
    <row r="24" spans="1:51" x14ac:dyDescent="0.3">
      <c r="A24" s="27">
        <v>23</v>
      </c>
      <c r="B24" s="39">
        <v>370.52</v>
      </c>
      <c r="C24" s="28">
        <f t="shared" si="1"/>
        <v>-1.3711250000002337</v>
      </c>
      <c r="J24" s="33">
        <f t="shared" ca="1" si="4"/>
        <v>1.6000000000000227</v>
      </c>
      <c r="K24" s="34">
        <f t="shared" ca="1" si="5"/>
        <v>56.723500000000023</v>
      </c>
      <c r="N24" s="31"/>
    </row>
    <row r="25" spans="1:51" ht="15.6" x14ac:dyDescent="0.35">
      <c r="A25" s="27">
        <v>24</v>
      </c>
      <c r="B25" s="39">
        <v>371.66</v>
      </c>
      <c r="C25" s="28">
        <f t="shared" si="1"/>
        <v>-0.23112500000019054</v>
      </c>
      <c r="J25" s="33">
        <f t="shared" ca="1" si="4"/>
        <v>1.2099999999999795</v>
      </c>
      <c r="K25" s="34">
        <f t="shared" ca="1" si="5"/>
        <v>56.333499999999979</v>
      </c>
      <c r="N25" s="31"/>
      <c r="AC25" s="26" t="s">
        <v>41</v>
      </c>
      <c r="AD25" s="26" t="s">
        <v>42</v>
      </c>
      <c r="AE25" s="26" t="s">
        <v>43</v>
      </c>
      <c r="AF25" s="26" t="s">
        <v>44</v>
      </c>
      <c r="AG25" s="26" t="s">
        <v>45</v>
      </c>
      <c r="AH25" s="26" t="s">
        <v>46</v>
      </c>
      <c r="AI25" s="26" t="s">
        <v>47</v>
      </c>
      <c r="AJ25" s="26" t="s">
        <v>48</v>
      </c>
      <c r="AK25" s="26" t="s">
        <v>49</v>
      </c>
      <c r="AL25" s="26" t="s">
        <v>50</v>
      </c>
      <c r="AM25" s="26" t="s">
        <v>51</v>
      </c>
      <c r="AN25" s="26" t="s">
        <v>52</v>
      </c>
      <c r="AO25" s="26" t="s">
        <v>53</v>
      </c>
      <c r="AP25" s="26" t="s">
        <v>54</v>
      </c>
      <c r="AQ25" s="26" t="s">
        <v>55</v>
      </c>
      <c r="AR25" s="26" t="s">
        <v>56</v>
      </c>
      <c r="AS25" s="26" t="s">
        <v>57</v>
      </c>
      <c r="AT25" s="26" t="s">
        <v>58</v>
      </c>
      <c r="AU25" s="26" t="s">
        <v>59</v>
      </c>
      <c r="AV25" s="26" t="s">
        <v>60</v>
      </c>
      <c r="AW25" s="26" t="s">
        <v>61</v>
      </c>
      <c r="AX25" s="26" t="s">
        <v>62</v>
      </c>
      <c r="AY25" s="26" t="s">
        <v>63</v>
      </c>
    </row>
    <row r="26" spans="1:51" x14ac:dyDescent="0.3">
      <c r="A26" s="27">
        <v>25</v>
      </c>
      <c r="B26" s="39">
        <v>371.82</v>
      </c>
      <c r="C26" s="28">
        <f t="shared" si="1"/>
        <v>-7.1125000000222371E-2</v>
      </c>
      <c r="J26" s="33">
        <f t="shared" ca="1" si="4"/>
        <v>2.1999999999999886</v>
      </c>
      <c r="K26" s="34">
        <f t="shared" ca="1" si="5"/>
        <v>57.323499999999989</v>
      </c>
      <c r="N26" s="31"/>
      <c r="AC26" s="42">
        <v>1</v>
      </c>
      <c r="AD26" s="43">
        <f t="shared" ref="AD26:AD45" ca="1" si="17">L2</f>
        <v>0.91457739484213429</v>
      </c>
      <c r="AE26" s="31">
        <f ca="1">AF26</f>
        <v>0.91457739484213429</v>
      </c>
      <c r="AF26" s="44">
        <f ca="1">AD26</f>
        <v>0.91457739484213429</v>
      </c>
      <c r="AG26" s="31"/>
      <c r="AH26" s="31"/>
      <c r="AI26" s="31"/>
      <c r="AJ26" s="31"/>
      <c r="AK26" s="45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46"/>
      <c r="AX26" s="46"/>
      <c r="AY26" s="46"/>
    </row>
    <row r="27" spans="1:51" x14ac:dyDescent="0.3">
      <c r="A27" s="27">
        <v>26</v>
      </c>
      <c r="B27" s="39">
        <v>371.7</v>
      </c>
      <c r="C27" s="28">
        <f t="shared" si="1"/>
        <v>-0.19112500000022692</v>
      </c>
      <c r="J27" s="33">
        <f t="shared" ca="1" si="4"/>
        <v>1.6000000000000227</v>
      </c>
      <c r="K27" s="34">
        <f t="shared" ca="1" si="5"/>
        <v>56.723500000000023</v>
      </c>
      <c r="N27" s="31"/>
      <c r="AC27" s="42">
        <v>2</v>
      </c>
      <c r="AD27" s="43">
        <f t="shared" ca="1" si="17"/>
        <v>0.82943292781837863</v>
      </c>
      <c r="AE27" s="31">
        <f ca="1">AG27</f>
        <v>-4.2916301228815353E-2</v>
      </c>
      <c r="AF27" s="31">
        <f ca="1">AF26-(AF26*AG27)</f>
        <v>0.95382767381624456</v>
      </c>
      <c r="AG27" s="44">
        <f ca="1">(AD27-(AF26*AD26))/(1-(AF26*AD26))</f>
        <v>-4.2916301228815353E-2</v>
      </c>
      <c r="AH27" s="31"/>
      <c r="AI27" s="31"/>
      <c r="AJ27" s="31"/>
      <c r="AK27" s="45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46"/>
      <c r="AX27" s="46"/>
      <c r="AY27" s="46"/>
    </row>
    <row r="28" spans="1:51" x14ac:dyDescent="0.3">
      <c r="A28" s="27">
        <v>27</v>
      </c>
      <c r="B28" s="39">
        <v>370.12</v>
      </c>
      <c r="C28" s="28">
        <f t="shared" si="1"/>
        <v>-1.771125000000211</v>
      </c>
      <c r="J28" s="33">
        <f t="shared" ca="1" si="4"/>
        <v>1.5</v>
      </c>
      <c r="K28" s="34">
        <f t="shared" ca="1" si="5"/>
        <v>56.6235</v>
      </c>
      <c r="N28" s="31"/>
      <c r="AC28" s="42">
        <v>3</v>
      </c>
      <c r="AD28" s="43">
        <f t="shared" ca="1" si="17"/>
        <v>0.74444025965858129</v>
      </c>
      <c r="AE28" s="31">
        <f ca="1">AH28</f>
        <v>-4.5609065536803529E-2</v>
      </c>
      <c r="AF28" s="31">
        <f ca="1">AF27-(AG27*AH28)</f>
        <v>0.95187030142090234</v>
      </c>
      <c r="AG28" s="31">
        <f ca="1">AG27-(AF27*AH28)</f>
        <v>5.8688765708660856E-4</v>
      </c>
      <c r="AH28" s="44">
        <f ca="1">(AD28-(AF27*AD27+AG27*AD26))/(1-(AF27*AD26+AG27*AD27))</f>
        <v>-4.5609065536803529E-2</v>
      </c>
      <c r="AI28" s="31"/>
      <c r="AJ28" s="31"/>
      <c r="AK28" s="45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46"/>
      <c r="AX28" s="46"/>
      <c r="AY28" s="46"/>
    </row>
    <row r="29" spans="1:51" x14ac:dyDescent="0.3">
      <c r="A29" s="27">
        <v>28</v>
      </c>
      <c r="B29" s="39">
        <v>368.12</v>
      </c>
      <c r="C29" s="28">
        <f t="shared" si="1"/>
        <v>-3.771125000000211</v>
      </c>
      <c r="J29" s="33">
        <f t="shared" ca="1" si="4"/>
        <v>1.4300000000000068</v>
      </c>
      <c r="K29" s="34">
        <f t="shared" ca="1" si="5"/>
        <v>56.553500000000007</v>
      </c>
      <c r="N29" s="31"/>
      <c r="AC29" s="42">
        <v>4</v>
      </c>
      <c r="AD29" s="43">
        <f t="shared" ca="1" si="17"/>
        <v>0.65900855228180677</v>
      </c>
      <c r="AE29" s="45">
        <f ca="1">AI29</f>
        <v>-5.1414402894679509E-2</v>
      </c>
      <c r="AF29" s="45">
        <f ca="1">AF28-(AH28*AI29)</f>
        <v>0.9495253385497433</v>
      </c>
      <c r="AG29" s="45">
        <f ca="1">AG28-(AG28*AI29)</f>
        <v>6.1706213554197395E-4</v>
      </c>
      <c r="AH29" s="45">
        <f ca="1">AH28-(AF28*AI29)</f>
        <v>3.3307776439307699E-3</v>
      </c>
      <c r="AI29" s="44">
        <f ca="1">(AD29-(AF28*AD28+AG28*AD27+AH28*AD26))/(1-(AF28*AD26+AG28*AD27+AH28*AD28))</f>
        <v>-5.1414402894679509E-2</v>
      </c>
      <c r="AJ29" s="31"/>
      <c r="AK29" s="45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46"/>
      <c r="AX29" s="46"/>
      <c r="AY29" s="46"/>
    </row>
    <row r="30" spans="1:51" x14ac:dyDescent="0.3">
      <c r="A30" s="27">
        <v>29</v>
      </c>
      <c r="B30" s="39">
        <v>366.62</v>
      </c>
      <c r="C30" s="28">
        <f t="shared" si="1"/>
        <v>-5.271125000000211</v>
      </c>
      <c r="J30" s="33">
        <f t="shared" ca="1" si="4"/>
        <v>1.339999999999975</v>
      </c>
      <c r="K30" s="34">
        <f t="shared" ca="1" si="5"/>
        <v>56.463499999999975</v>
      </c>
      <c r="N30" s="31"/>
      <c r="AC30" s="42">
        <v>5</v>
      </c>
      <c r="AD30" s="43">
        <f t="shared" ca="1" si="17"/>
        <v>0.57310733834540861</v>
      </c>
      <c r="AE30" s="45">
        <f ca="1">AJ30</f>
        <v>-5.4392721294420882E-2</v>
      </c>
      <c r="AF30" s="45">
        <f ca="1">AF29-(AI29*AJ30)</f>
        <v>0.94672876926257399</v>
      </c>
      <c r="AG30" s="45">
        <f ca="1">AG29-(AH29*AJ30)</f>
        <v>7.9823219562198818E-4</v>
      </c>
      <c r="AH30" s="45">
        <f ca="1">AH29-(AG29*AJ30)</f>
        <v>3.3643413326906444E-3</v>
      </c>
      <c r="AI30" s="31">
        <f ca="1">AI29-(AF29*AJ30)</f>
        <v>2.3286420704730915E-4</v>
      </c>
      <c r="AJ30" s="44">
        <f ca="1">(AD30-(AF29*AD29+AG29*AD28+AH29*AD27+AI29*AD26))/(1-(AF29*AD26+AG29*AD27+AH29*AD28+AI29*AD29))</f>
        <v>-5.4392721294420882E-2</v>
      </c>
      <c r="AK30" s="45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46"/>
      <c r="AX30" s="46"/>
      <c r="AY30" s="46"/>
    </row>
    <row r="31" spans="1:51" x14ac:dyDescent="0.3">
      <c r="A31" s="27">
        <v>30</v>
      </c>
      <c r="B31" s="39">
        <v>366.73</v>
      </c>
      <c r="C31" s="28">
        <f t="shared" si="1"/>
        <v>-5.1611250000001974</v>
      </c>
      <c r="J31" s="33">
        <f t="shared" ca="1" si="4"/>
        <v>1.3599999999999568</v>
      </c>
      <c r="K31" s="34">
        <f t="shared" ca="1" si="5"/>
        <v>56.483499999999957</v>
      </c>
      <c r="N31" s="31"/>
      <c r="AC31" s="42">
        <v>6</v>
      </c>
      <c r="AD31" s="43">
        <f t="shared" ca="1" si="17"/>
        <v>0.48710513673244649</v>
      </c>
      <c r="AE31" s="45">
        <f ca="1">AK31</f>
        <v>-5.5244887005137001E-2</v>
      </c>
      <c r="AF31" s="45">
        <f ca="1">AF30-(AJ30*AK31)</f>
        <v>0.94372384952076183</v>
      </c>
      <c r="AG31" s="45">
        <f ca="1">AG30-(AI30*AK31)</f>
        <v>8.1109675242785762E-4</v>
      </c>
      <c r="AH31" s="45">
        <f ca="1">AH30-(AH30*AK31)</f>
        <v>3.550203989461851E-3</v>
      </c>
      <c r="AI31" s="31">
        <f ca="1">AI30-(AG30*AK31)</f>
        <v>2.769624544983083E-4</v>
      </c>
      <c r="AJ31" s="31">
        <f ca="1">AJ30-(AF30*AK31)</f>
        <v>-2.0907974119975595E-3</v>
      </c>
      <c r="AK31" s="48">
        <f ca="1">(AD31-(AF30*AD30+AG30*AD29+AH30*AD28+AI30*AD27+AJ30*AD26))/(1-(AF30*AD26+AG30*AD27+AH30*AD28+AI30*AD29+AJ30*AD30))</f>
        <v>-5.5244887005137001E-2</v>
      </c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46"/>
      <c r="AX31" s="46"/>
      <c r="AY31" s="46"/>
    </row>
    <row r="32" spans="1:51" x14ac:dyDescent="0.3">
      <c r="A32" s="27">
        <v>31</v>
      </c>
      <c r="B32" s="39">
        <v>368.29</v>
      </c>
      <c r="C32" s="28">
        <f t="shared" si="1"/>
        <v>-3.6011250000001951</v>
      </c>
      <c r="J32" s="33">
        <f t="shared" ca="1" si="4"/>
        <v>1.3899999999999864</v>
      </c>
      <c r="K32" s="34">
        <f t="shared" ca="1" si="5"/>
        <v>56.513499999999986</v>
      </c>
      <c r="N32" s="31"/>
      <c r="AC32" s="42">
        <v>7</v>
      </c>
      <c r="AD32" s="43">
        <f t="shared" ca="1" si="17"/>
        <v>0.40109173474993409</v>
      </c>
      <c r="AE32" s="45">
        <f ca="1">AL32</f>
        <v>-5.7904932675591991E-2</v>
      </c>
      <c r="AF32" s="45">
        <f ca="1">AF31-(AK31*AL32)</f>
        <v>0.94052489805805872</v>
      </c>
      <c r="AG32" s="45">
        <f ca="1">AG31-(AJ31*AL32)</f>
        <v>6.9002926904783695E-4</v>
      </c>
      <c r="AH32" s="45">
        <f ca="1">AH31-(AI31*AL32)</f>
        <v>3.5662414817432425E-3</v>
      </c>
      <c r="AI32" s="31">
        <f ca="1">AI31-(AH31*AL32)</f>
        <v>4.8253677749271489E-4</v>
      </c>
      <c r="AJ32" s="31">
        <f ca="1">AJ31-(AG31*AL32)</f>
        <v>-2.043830909154833E-3</v>
      </c>
      <c r="AK32" s="31">
        <f ca="1">AK31-(AF31*AL32)</f>
        <v>-5.9862103428678232E-4</v>
      </c>
      <c r="AL32" s="44">
        <f ca="1">(AD32-(AF31*AD31+AG31*AD30+AH31*AD29+AI31*AD28+AJ31*AD27+AK31*AD26))/(1-(AF31*AD26+AG31*AD27+AH31*AD28+AI31*AD29+AJ31*AD30+AK31*AD31))</f>
        <v>-5.7904932675591991E-2</v>
      </c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46"/>
      <c r="AX32" s="46"/>
      <c r="AY32" s="46"/>
    </row>
    <row r="33" spans="1:51" x14ac:dyDescent="0.3">
      <c r="A33" s="27">
        <v>32</v>
      </c>
      <c r="B33" s="39">
        <v>369.53</v>
      </c>
      <c r="C33" s="28">
        <f t="shared" si="1"/>
        <v>-2.3611250000002428</v>
      </c>
      <c r="J33" s="33">
        <f t="shared" ca="1" si="4"/>
        <v>1.7100000000000364</v>
      </c>
      <c r="K33" s="34">
        <f t="shared" ca="1" si="5"/>
        <v>56.833500000000036</v>
      </c>
      <c r="N33" s="31"/>
      <c r="AC33" s="42">
        <v>8</v>
      </c>
      <c r="AD33" s="43">
        <f t="shared" ca="1" si="17"/>
        <v>0.31513202651033284</v>
      </c>
      <c r="AE33" s="45">
        <f ca="1">AM33</f>
        <v>-6.1046920447329477E-2</v>
      </c>
      <c r="AF33" s="45">
        <f ca="1">AF32-(AL32*AM33)</f>
        <v>0.93698998023950386</v>
      </c>
      <c r="AG33" s="45">
        <f ca="1">AG32-(AK32*AM33)</f>
        <v>6.5348529838963362E-4</v>
      </c>
      <c r="AH33" s="45">
        <f ca="1">AH32-(AJ32*AM33)</f>
        <v>3.4414718988242743E-3</v>
      </c>
      <c r="AI33" s="31">
        <f ca="1">AI32-(AI32*AM33)</f>
        <v>5.1199416176122333E-4</v>
      </c>
      <c r="AJ33" s="31">
        <f ca="1">AJ32-(AH32*AM33)</f>
        <v>-1.8261228491228869E-3</v>
      </c>
      <c r="AK33" s="31">
        <f ca="1">AK32-(AG32*AM33)</f>
        <v>-5.564968723928901E-4</v>
      </c>
      <c r="AL33" s="31">
        <f ca="1">AL32-(AF32*AM33)</f>
        <v>-4.887840451090128E-4</v>
      </c>
      <c r="AM33" s="44">
        <f ca="1">(AD33-(AF32*AD32+AG32*AD31+AH32*AD30+AI32*AD29+AJ32*AD28+AK32*AD27+AL32*AD26))/(1-(AF32*AD26+AG32*AD27+AH32*AD28+AI32*AD29+AJ32*AD30+AK32*AD31+AL32*AD32))</f>
        <v>-6.1046920447329477E-2</v>
      </c>
      <c r="AN33" s="31"/>
      <c r="AO33" s="31"/>
      <c r="AP33" s="31"/>
      <c r="AQ33" s="31"/>
      <c r="AR33" s="31"/>
      <c r="AS33" s="31"/>
      <c r="AT33" s="31"/>
      <c r="AU33" s="31"/>
      <c r="AV33" s="31"/>
      <c r="AW33" s="46"/>
      <c r="AX33" s="46"/>
      <c r="AY33" s="46"/>
    </row>
    <row r="34" spans="1:51" x14ac:dyDescent="0.3">
      <c r="A34" s="27">
        <v>33</v>
      </c>
      <c r="B34" s="39">
        <v>370.28</v>
      </c>
      <c r="C34" s="28">
        <f t="shared" si="1"/>
        <v>-1.6111250000002428</v>
      </c>
      <c r="J34" s="33">
        <f t="shared" ca="1" si="4"/>
        <v>2.1500000000000341</v>
      </c>
      <c r="K34" s="34">
        <f t="shared" ca="1" si="5"/>
        <v>57.273500000000034</v>
      </c>
      <c r="N34" s="31"/>
      <c r="AC34" s="42">
        <v>9</v>
      </c>
      <c r="AD34" s="43">
        <f t="shared" ca="1" si="17"/>
        <v>0.2295034598261749</v>
      </c>
      <c r="AE34" s="45">
        <f ca="1">AN34</f>
        <v>-6.3287054279925495E-2</v>
      </c>
      <c r="AF34" s="45">
        <f ca="1">AF33-(AM33*AN34)</f>
        <v>0.93312650047153145</v>
      </c>
      <c r="AG34" s="45">
        <f ca="1">AG33-(AL33*AN34)</f>
        <v>6.2255159599565793E-4</v>
      </c>
      <c r="AH34" s="45">
        <f ca="1">AH33-(AK33*AN34)</f>
        <v>3.4062528510545365E-3</v>
      </c>
      <c r="AI34" s="31">
        <f ca="1">AI33-(AJ33*AN34)</f>
        <v>3.96424225886971E-4</v>
      </c>
      <c r="AJ34" s="31">
        <f ca="1">AJ33-(AI33*AN34)</f>
        <v>-1.7937202468164995E-3</v>
      </c>
      <c r="AK34" s="31">
        <f ca="1">AK33-(AH33*AN34)</f>
        <v>-3.3869625352916E-4</v>
      </c>
      <c r="AL34" s="31">
        <f ca="1">AL33-(AG33*AN34)</f>
        <v>-4.4742688555869474E-4</v>
      </c>
      <c r="AM34" s="31">
        <f ca="1">AM33-(AF33*AN34)</f>
        <v>-1.7475847081656823E-3</v>
      </c>
      <c r="AN34" s="44">
        <f ca="1">(AD34-(AF33*AD33+AG33*AD32+AH33*AD31+AI33*AD30+AJ33*AD29+AK33*AD28+AL33*AD27+AM33*AD26))/(1-(AF33*AD26+AG33*AD27+AH33*AD28+AI33*AD29+AJ33*AD30+AK33*AD31+AL33*AD32+AM33*AD33))</f>
        <v>-6.3287054279925495E-2</v>
      </c>
      <c r="AO34" s="31"/>
      <c r="AP34" s="31"/>
      <c r="AQ34" s="31"/>
      <c r="AR34" s="31"/>
      <c r="AS34" s="31"/>
      <c r="AT34" s="31"/>
      <c r="AU34" s="31"/>
      <c r="AV34" s="31"/>
      <c r="AW34" s="46"/>
      <c r="AX34" s="46"/>
      <c r="AY34" s="46"/>
    </row>
    <row r="35" spans="1:51" x14ac:dyDescent="0.3">
      <c r="A35" s="27">
        <v>34</v>
      </c>
      <c r="B35" s="39">
        <v>371.5</v>
      </c>
      <c r="C35" s="28">
        <f t="shared" si="1"/>
        <v>-0.39112500000021555</v>
      </c>
      <c r="J35" s="33">
        <f t="shared" ca="1" si="4"/>
        <v>1.589999999999975</v>
      </c>
      <c r="K35" s="34">
        <f t="shared" ca="1" si="5"/>
        <v>56.713499999999975</v>
      </c>
      <c r="N35" s="31"/>
      <c r="AC35" s="42">
        <v>10</v>
      </c>
      <c r="AD35" s="43">
        <f t="shared" ca="1" si="17"/>
        <v>0.14445241250770849</v>
      </c>
      <c r="AE35" s="45">
        <f ca="1">AO35</f>
        <v>-6.6017360767403527E-2</v>
      </c>
      <c r="AF35" s="45">
        <f ca="1">AF34-(AN34*AO35)</f>
        <v>0.92894845617722732</v>
      </c>
      <c r="AG35" s="45">
        <f ca="1">AG34-(AM34*AO35)</f>
        <v>5.0718066584508651E-4</v>
      </c>
      <c r="AH35" s="45">
        <f ca="1">AH34-(AL34*AO35)</f>
        <v>3.3767149089335723E-3</v>
      </c>
      <c r="AI35" s="31">
        <f ca="1">AI34-(AK34*AO35)</f>
        <v>3.7406439312716848E-4</v>
      </c>
      <c r="AJ35" s="31">
        <f ca="1">AJ34-(AJ34*AO35)</f>
        <v>-1.9121369234663804E-3</v>
      </c>
      <c r="AK35" s="31">
        <f ca="1">AK34-(AI34*AO35)</f>
        <v>-3.1252537239184118E-4</v>
      </c>
      <c r="AL35" s="31">
        <f ca="1">AL34-(AH34*AO35)</f>
        <v>-2.2255506222563059E-4</v>
      </c>
      <c r="AM35" s="31">
        <f ca="1">AM34-(AG34*AO35)</f>
        <v>-1.706485494856514E-3</v>
      </c>
      <c r="AN35" s="31">
        <f ca="1">AN34-(AF34*AO35)</f>
        <v>-1.6845054566716686E-3</v>
      </c>
      <c r="AO35" s="44">
        <f ca="1">(AD35-(AF34*AD34+AG34*AD33+AH34*AD32+AI34*AD31+AJ34*AD30+AK34*AD29+AL34*AD28+AM34*AD27+AN34*AD26))/(1-(AF34*AD26+AG34*AD27+AH34*AD28+AI34*AD29+AJ34*AD30+AK34*AD31+AL34*AD32+AM34*AD33+AN34*AD34))</f>
        <v>-6.6017360767403527E-2</v>
      </c>
      <c r="AP35" s="31"/>
      <c r="AQ35" s="31"/>
      <c r="AR35" s="31"/>
      <c r="AS35" s="31"/>
      <c r="AT35" s="31"/>
      <c r="AU35" s="31"/>
      <c r="AV35" s="31"/>
      <c r="AW35" s="46"/>
      <c r="AX35" s="46"/>
      <c r="AY35" s="46"/>
    </row>
    <row r="36" spans="1:51" x14ac:dyDescent="0.3">
      <c r="A36" s="27">
        <v>35</v>
      </c>
      <c r="B36" s="39">
        <v>372.12</v>
      </c>
      <c r="C36" s="28">
        <f t="shared" si="1"/>
        <v>0.228874999999789</v>
      </c>
      <c r="J36" s="33">
        <f t="shared" ca="1" si="4"/>
        <v>1.3999999999999773</v>
      </c>
      <c r="K36" s="34">
        <f t="shared" ca="1" si="5"/>
        <v>56.523499999999977</v>
      </c>
      <c r="N36" s="31"/>
      <c r="AC36" s="42">
        <v>11</v>
      </c>
      <c r="AD36" s="43">
        <f t="shared" ca="1" si="17"/>
        <v>5.9341853399162432E-2</v>
      </c>
      <c r="AE36" s="45">
        <f ca="1">AP36</f>
        <v>-7.4674012906734755E-2</v>
      </c>
      <c r="AF36" s="45">
        <f ca="1">AF35-(AO35*AP36)</f>
        <v>0.92401867492721368</v>
      </c>
      <c r="AG36" s="45">
        <f ca="1">AG35-(AN35*AP36)</f>
        <v>3.8139188363212122E-4</v>
      </c>
      <c r="AH36" s="45">
        <f ca="1">AH35-(AM35*AP36)</f>
        <v>3.2492847890655012E-3</v>
      </c>
      <c r="AI36" s="31">
        <f ca="1">AI35-(AL35*AP36)</f>
        <v>3.5744531353807258E-4</v>
      </c>
      <c r="AJ36" s="31">
        <f ca="1">AJ35-(AK35*AP36)</f>
        <v>-1.9354744471580508E-3</v>
      </c>
      <c r="AK36" s="31">
        <f ca="1">AK35-(AJ35*AP36)</f>
        <v>-4.5531230969421378E-4</v>
      </c>
      <c r="AL36" s="31">
        <f ca="1">AL35-(AI35*AP36)</f>
        <v>-1.946221729053025E-4</v>
      </c>
      <c r="AM36" s="31">
        <f ca="1">AM35-(AH35*AP36)</f>
        <v>-1.4543326421644449E-3</v>
      </c>
      <c r="AN36" s="31">
        <f ca="1">AN35-(AG35*AP36)</f>
        <v>-1.6466322410843063E-3</v>
      </c>
      <c r="AO36" s="31">
        <f ca="1">AO35-(AF35*AP36)</f>
        <v>3.3509482388660722E-3</v>
      </c>
      <c r="AP36" s="44">
        <f ca="1">(AD36-(AF35*AD35+AG35*AD34+AH35*AD33+AI35*AD32+AJ35*AD31+AK35*AD30+AL35*AD29+AM35*AD28+AN35*AD27+AO35*AD26))/(1-(AF35*AD26+AG35*AD27+AH35*AD28+AI35*AD29+AJ35*AD30+AK35*AD31+AL35*AD32+AM35*AD33+AN35*AD34+AO35*AD35))</f>
        <v>-7.4674012906734755E-2</v>
      </c>
      <c r="AQ36" s="31"/>
      <c r="AR36" s="31"/>
      <c r="AS36" s="31"/>
      <c r="AT36" s="31"/>
      <c r="AU36" s="31"/>
      <c r="AV36" s="31"/>
      <c r="AW36" s="46"/>
      <c r="AX36" s="46"/>
      <c r="AY36" s="46"/>
    </row>
    <row r="37" spans="1:51" x14ac:dyDescent="0.3">
      <c r="A37" s="27">
        <v>36</v>
      </c>
      <c r="B37" s="39">
        <v>372.87</v>
      </c>
      <c r="C37" s="28">
        <f t="shared" si="1"/>
        <v>0.978874999999789</v>
      </c>
      <c r="J37" s="33">
        <f t="shared" ca="1" si="4"/>
        <v>1.9900000000000091</v>
      </c>
      <c r="K37" s="34">
        <f t="shared" ca="1" si="5"/>
        <v>57.113500000000009</v>
      </c>
      <c r="N37" s="31"/>
      <c r="AC37" s="42">
        <v>12</v>
      </c>
      <c r="AD37" s="43">
        <f t="shared" ca="1" si="17"/>
        <v>-2.6141472878422761E-2</v>
      </c>
      <c r="AE37" s="45">
        <f ca="1">AQ37</f>
        <v>-8.2703117060492048E-2</v>
      </c>
      <c r="AF37" s="45">
        <f ca="1">AF36-(AP36*AQ37)</f>
        <v>0.91784290129641133</v>
      </c>
      <c r="AG37" s="45">
        <f ca="1">AG36-(AO36*AQ37)</f>
        <v>6.5852574809471169E-4</v>
      </c>
      <c r="AH37" s="45">
        <f ca="1">AH36-(AN36*AQ37)</f>
        <v>3.1131031700755256E-3</v>
      </c>
      <c r="AI37" s="31">
        <f ca="1">AI36-(AM36*AQ37)</f>
        <v>2.371674707882518E-4</v>
      </c>
      <c r="AJ37" s="31">
        <f ca="1">AJ36-(AL36*AQ37)</f>
        <v>-1.9515703075064054E-3</v>
      </c>
      <c r="AK37" s="31">
        <f ca="1">AK36-(AK36*AQ37)</f>
        <v>-4.9296805694193737E-4</v>
      </c>
      <c r="AL37" s="31">
        <f ca="1">AL36-(AJ36*AQ37)</f>
        <v>-3.5469194267620589E-4</v>
      </c>
      <c r="AM37" s="31">
        <f ca="1">AM36-(AI36*AQ37)</f>
        <v>-1.4247708005561814E-3</v>
      </c>
      <c r="AN37" s="31">
        <f ca="1">AN36-(AH36*AQ37)</f>
        <v>-1.377906260811346E-3</v>
      </c>
      <c r="AO37" s="31">
        <f ca="1">AO36-(AG36*AQ37)</f>
        <v>3.3824905364640209E-3</v>
      </c>
      <c r="AP37" s="31">
        <f ca="1">AP36-(AF36*AQ37)</f>
        <v>1.7452117318513538E-3</v>
      </c>
      <c r="AQ37" s="44">
        <f ca="1">(AD37-(AF36*AD36+AG36*AD35+AH36*AD34+AI36*AD33+AJ36*AD32+AK36*AD31+AL36*AD30+AM36*AD29+AN36*AD28+AO36*AD27+AP36*AD26))/(1-(AF36*AD26+AG36*AD27+AH36*AD28+AI36*AD29+AJ36*AD30+AK36*AD31+AL36*AD32+AM36*AD33+AN36*AD34+AO36*AD35+AP36*AD36))</f>
        <v>-8.2703117060492048E-2</v>
      </c>
      <c r="AR37" s="31"/>
      <c r="AS37" s="31"/>
      <c r="AT37" s="31"/>
      <c r="AU37" s="31"/>
      <c r="AV37" s="31"/>
      <c r="AW37" s="46"/>
      <c r="AX37" s="46"/>
      <c r="AY37" s="46"/>
    </row>
    <row r="38" spans="1:51" x14ac:dyDescent="0.3">
      <c r="A38" s="27">
        <v>37</v>
      </c>
      <c r="B38" s="39">
        <v>374.02</v>
      </c>
      <c r="C38" s="28">
        <f t="shared" si="1"/>
        <v>2.1288749999997663</v>
      </c>
      <c r="J38" s="33">
        <f t="shared" ca="1" si="4"/>
        <v>1.5300000000000296</v>
      </c>
      <c r="K38" s="34">
        <f t="shared" ca="1" si="5"/>
        <v>56.65350000000003</v>
      </c>
      <c r="N38" s="31"/>
      <c r="AC38" s="42">
        <v>13</v>
      </c>
      <c r="AD38" s="43">
        <f t="shared" ca="1" si="17"/>
        <v>-2.8350103789699498E-2</v>
      </c>
      <c r="AE38" s="45">
        <f ca="1">AR38</f>
        <v>0.44241830949835886</v>
      </c>
      <c r="AF38" s="45">
        <f ca="1">AF37-(AQ37*AR38)</f>
        <v>0.9544322745365591</v>
      </c>
      <c r="AG38" s="45">
        <f ca="1">AG37-(AP37*AR38)</f>
        <v>-1.1358787602766746E-4</v>
      </c>
      <c r="AH38" s="45">
        <f ca="1">AH37-(AO37*AR38)</f>
        <v>1.6166274250389164E-3</v>
      </c>
      <c r="AI38" s="31">
        <f ca="1">AI37-(AN37*AR38)</f>
        <v>8.4677842934361217E-4</v>
      </c>
      <c r="AJ38" s="31">
        <f ca="1">AJ37-(AM37*AR38)</f>
        <v>-1.3212256185017163E-3</v>
      </c>
      <c r="AK38" s="31">
        <f ca="1">AK37-(AL37*AR38)</f>
        <v>-3.3604584727044156E-4</v>
      </c>
      <c r="AL38" s="31">
        <f ca="1">AL37-(AK37*AR38)</f>
        <v>-1.3659384828726325E-4</v>
      </c>
      <c r="AM38" s="31">
        <f ca="1">AM37-(AJ37*AR38)</f>
        <v>-5.6136036424200505E-4</v>
      </c>
      <c r="AN38" s="31">
        <f ca="1">AN37-(AI37*AR38)</f>
        <v>-1.4828334923054857E-3</v>
      </c>
      <c r="AO38" s="31">
        <f ca="1">AO37-(AH37*AR38)</f>
        <v>2.005196694665225E-3</v>
      </c>
      <c r="AP38" s="31">
        <f ca="1">AP37-(AG37*AR38)</f>
        <v>1.4538678836181493E-3</v>
      </c>
      <c r="AQ38" s="31">
        <f ca="1">AQ37-(AF37*AR38)</f>
        <v>-0.48877362183711942</v>
      </c>
      <c r="AR38" s="44">
        <f ca="1">(AD38-(AF37*AD37+AG37*AD36+AH37*AD35+AI37*AD34+AJ37*AD33+AK37*AD32+AL37*AD31+AM37*AD30+AN37*AD29+AO37*AD28+AP37*AD27+AQ37*AD26))/(1-(AF37*AD26+AG37*AD27+AH37*AD28+AI37*AD29+AJ37*AD30+AK37*AD31+AL37*AD32+AM37*AD33+AN37*AD34+AO37*AD35+AP37*AD36+AQ37*AD37))</f>
        <v>0.44241830949835886</v>
      </c>
      <c r="AS38" s="31"/>
      <c r="AT38" s="31"/>
      <c r="AU38" s="31"/>
      <c r="AV38" s="31"/>
      <c r="AW38" s="46"/>
      <c r="AX38" s="46"/>
      <c r="AY38" s="46"/>
    </row>
    <row r="39" spans="1:51" x14ac:dyDescent="0.3">
      <c r="A39" s="27">
        <v>38</v>
      </c>
      <c r="B39" s="39">
        <v>373.3</v>
      </c>
      <c r="C39" s="28">
        <f t="shared" si="1"/>
        <v>1.4088749999997958</v>
      </c>
      <c r="J39" s="33">
        <f t="shared" ca="1" si="4"/>
        <v>2.1100000000000136</v>
      </c>
      <c r="K39" s="34">
        <f t="shared" ca="1" si="5"/>
        <v>57.233500000000014</v>
      </c>
      <c r="N39" s="31"/>
      <c r="AC39" s="42">
        <v>14</v>
      </c>
      <c r="AD39" s="43">
        <f t="shared" ca="1" si="17"/>
        <v>-3.0726781821075928E-2</v>
      </c>
      <c r="AE39" s="45">
        <f ca="1">AS39</f>
        <v>-3.1090926123126417E-2</v>
      </c>
      <c r="AF39" s="45">
        <f ca="1">AF38-(AR38*AS39)</f>
        <v>0.96818746951269108</v>
      </c>
      <c r="AG39" s="45">
        <f ca="1">AG38-(AQ38*AS39)</f>
        <v>-1.5310012443498475E-2</v>
      </c>
      <c r="AH39" s="45">
        <f ca="1">AH38-(AP38*AS39)</f>
        <v>1.6618295240012745E-3</v>
      </c>
      <c r="AI39" s="31">
        <f ca="1">AI38-(AO38*AS39)</f>
        <v>9.0912185163978597E-4</v>
      </c>
      <c r="AJ39" s="31">
        <f ca="1">AJ38-(AN38*AS39)</f>
        <v>-1.3673282850638836E-3</v>
      </c>
      <c r="AK39" s="31">
        <f ca="1">AK38-(AM38*AS39)</f>
        <v>-3.5349906088354106E-4</v>
      </c>
      <c r="AL39" s="31">
        <f ca="1">AL38-(AL38*AS39)</f>
        <v>-1.408406775332361E-4</v>
      </c>
      <c r="AM39" s="31">
        <f ca="1">AM38-(AK38*AS39)</f>
        <v>-5.7180834085347374E-4</v>
      </c>
      <c r="AN39" s="31">
        <f ca="1">AN38-(AJ38*AS39)</f>
        <v>-1.5239116204023046E-3</v>
      </c>
      <c r="AO39" s="31">
        <f ca="1">AO38-(AI38*AS39)</f>
        <v>2.0315238202546042E-3</v>
      </c>
      <c r="AP39" s="31">
        <f ca="1">AP38-(AH38*AS39)</f>
        <v>1.5041303274586544E-3</v>
      </c>
      <c r="AQ39" s="31">
        <f ca="1">AQ38-(AG38*AS39)</f>
        <v>-0.48877715338938149</v>
      </c>
      <c r="AR39" s="31">
        <f ca="1">AR38-(AF38*AS39)</f>
        <v>0.47209249283550253</v>
      </c>
      <c r="AS39" s="44">
        <f ca="1">(AD39-(AF38*AD38+AG38*AD37+AH38*AD36+AI38*AD35+AJ38*AD34+AK38*AD33+AL38*AD32+AM38*AD31+AN38*AD30+AO38*AD29+AP38*AD28+AQ38*AD27+AR38*AD26))/(1-(AF38*AD26+AG38*AD27+AH38*AD28+AI38*AD29+AJ38*AD30+AK38*AD31+AL38*AD32+AM38*AD33+AN38*AD34+AO38*AD35+AP38*AD36+AQ38*AD37+AR38*AD38))</f>
        <v>-3.1090926123126417E-2</v>
      </c>
      <c r="AT39" s="31"/>
      <c r="AU39" s="31"/>
      <c r="AV39" s="31"/>
      <c r="AW39" s="46"/>
      <c r="AX39" s="46"/>
      <c r="AY39" s="46"/>
    </row>
    <row r="40" spans="1:51" x14ac:dyDescent="0.3">
      <c r="A40" s="27">
        <v>39</v>
      </c>
      <c r="B40" s="39">
        <v>371.62</v>
      </c>
      <c r="C40" s="28">
        <f t="shared" si="1"/>
        <v>-0.271125000000211</v>
      </c>
      <c r="J40" s="33">
        <f t="shared" ca="1" si="4"/>
        <v>2.3999999999999773</v>
      </c>
      <c r="K40" s="34">
        <f t="shared" ca="1" si="5"/>
        <v>57.523499999999977</v>
      </c>
      <c r="N40" s="31"/>
      <c r="AC40" s="42">
        <v>15</v>
      </c>
      <c r="AD40" s="43">
        <f t="shared" ca="1" si="17"/>
        <v>-3.3267029273919189E-2</v>
      </c>
      <c r="AE40" s="45">
        <f ca="1">AT40</f>
        <v>-3.2425020837149626E-2</v>
      </c>
      <c r="AF40" s="45">
        <f ca="1">AF39-(AS39*AT40)</f>
        <v>0.96717934558530239</v>
      </c>
      <c r="AG40" s="45">
        <f ca="1">AG39-(AR39*AT40)</f>
        <v>-2.4035262453959982E-6</v>
      </c>
      <c r="AH40" s="45">
        <f ca="1">AH39-(AQ39*AT40)</f>
        <v>-1.41867798593721E-2</v>
      </c>
      <c r="AI40" s="31">
        <f ca="1">AI39-(AP39*AT40)</f>
        <v>9.5789330884942154E-4</v>
      </c>
      <c r="AJ40" s="31">
        <f ca="1">AJ39-(AO39*AT40)</f>
        <v>-1.3014560828609623E-3</v>
      </c>
      <c r="AK40" s="31">
        <f ca="1">AK39-(AN39*AT40)</f>
        <v>-4.0291192692906025E-4</v>
      </c>
      <c r="AL40" s="31">
        <f ca="1">AL39-(AM39*AT40)</f>
        <v>-1.5938157490026595E-4</v>
      </c>
      <c r="AM40" s="31">
        <f ca="1">AM39-(AL39*AT40)</f>
        <v>-5.7637510275720721E-4</v>
      </c>
      <c r="AN40" s="31">
        <f ca="1">AN39-(AK39*AT40)</f>
        <v>-1.5353738348173663E-3</v>
      </c>
      <c r="AO40" s="31">
        <f ca="1">AO39-(AJ39*AT40)</f>
        <v>1.9871881721201835E-3</v>
      </c>
      <c r="AP40" s="31">
        <f ca="1">AP39-(AI39*AT40)</f>
        <v>1.5336086224415825E-3</v>
      </c>
      <c r="AQ40" s="31">
        <f ca="1">AQ39-(AH39*AT40)</f>
        <v>-0.48872326853243797</v>
      </c>
      <c r="AR40" s="31">
        <f ca="1">AR39-(AG39*AT40)</f>
        <v>0.47159606536300508</v>
      </c>
      <c r="AS40" s="31">
        <f ca="1">AS39-(AF39*AT40)</f>
        <v>3.0257275008976209E-4</v>
      </c>
      <c r="AT40" s="44">
        <f ca="1">(AD40-(AF39*AD39+AG39*AD38+AH39*AD37+AI39*AD36+AJ39*AD35+AK39*AD34+AL39*AD33+AM39*AD32+AN39*AD31+AO39*AD30+AP39*AD29+AQ39*AD28+AR39*AD27+AS39*AD26))/(1-(AF39*AD26+AG39*AD27+AH39*AD28+AI39*AD29+AJ39*AD30+AK39*AD31+AL39*AD32+AM39*AD33+AN39*AD34+AO39*AD35+AP39*AD36+AQ39*AD37+AR39*AD38+AS39*AD39))</f>
        <v>-3.2425020837149626E-2</v>
      </c>
      <c r="AU40" s="31"/>
      <c r="AV40" s="31"/>
      <c r="AW40" s="46"/>
      <c r="AX40" s="46"/>
      <c r="AY40" s="46"/>
    </row>
    <row r="41" spans="1:51" x14ac:dyDescent="0.3">
      <c r="A41" s="27">
        <v>40</v>
      </c>
      <c r="B41" s="39">
        <v>369.55</v>
      </c>
      <c r="C41" s="28">
        <f t="shared" si="1"/>
        <v>-2.3411250000002042</v>
      </c>
      <c r="J41" s="33">
        <f t="shared" ca="1" si="4"/>
        <v>1.9399999999999977</v>
      </c>
      <c r="K41" s="34">
        <f t="shared" ca="1" si="5"/>
        <v>57.063499999999998</v>
      </c>
      <c r="N41" s="31"/>
      <c r="AC41" s="42">
        <v>16</v>
      </c>
      <c r="AD41" s="43">
        <f t="shared" ca="1" si="17"/>
        <v>-3.573336164961452E-2</v>
      </c>
      <c r="AE41" s="45">
        <f ca="1">AU41</f>
        <v>-3.4990904092403664E-2</v>
      </c>
      <c r="AF41" s="45">
        <f ca="1">AF40-(AT40*AU41)</f>
        <v>0.96604476479099555</v>
      </c>
      <c r="AG41" s="45">
        <f ca="1">AG40-(AS40*AU41)</f>
        <v>8.1837678339696892E-6</v>
      </c>
      <c r="AH41" s="45">
        <f ca="1">AH40-(AR40*AU41)</f>
        <v>2.3147928340997419E-3</v>
      </c>
      <c r="AI41" s="31">
        <f ca="1">AI40-(AQ40*AU41)</f>
        <v>-1.6142975708095156E-2</v>
      </c>
      <c r="AJ41" s="31">
        <f ca="1">AJ40-(AP40*AU41)</f>
        <v>-1.2477937306378257E-3</v>
      </c>
      <c r="AK41" s="31">
        <f ca="1">AK40-(AO40*AU41)</f>
        <v>-3.3337841618484397E-4</v>
      </c>
      <c r="AL41" s="31">
        <f ca="1">AL40-(AN40*AU41)</f>
        <v>-2.1310569350034645E-4</v>
      </c>
      <c r="AM41" s="31">
        <f ca="1">AM40-(AM40*AU41)</f>
        <v>-5.9654298869903392E-4</v>
      </c>
      <c r="AN41" s="31">
        <f ca="1">AN40-(AL40*AU41)</f>
        <v>-1.5409507402187978E-3</v>
      </c>
      <c r="AO41" s="31">
        <f ca="1">AO40-(AK40*AU41)</f>
        <v>1.9730899195273231E-3</v>
      </c>
      <c r="AP41" s="31">
        <f ca="1">AP40-(AJ40*AU41)</f>
        <v>1.4880694974657193E-3</v>
      </c>
      <c r="AQ41" s="31">
        <f ca="1">AQ40-(AI40*AU41)</f>
        <v>-0.48868975097953726</v>
      </c>
      <c r="AR41" s="31">
        <f ca="1">AR40-(AH40*AU41)</f>
        <v>0.47109965710956575</v>
      </c>
      <c r="AS41" s="31">
        <f ca="1">AS40-(AG40*AU41)</f>
        <v>3.0248864853342586E-4</v>
      </c>
      <c r="AT41" s="31">
        <f ca="1">AT40-(AF40*AU41)</f>
        <v>1.4174588843794272E-3</v>
      </c>
      <c r="AU41" s="44">
        <f ca="1">(AD41-(AF40*AD40+AG40*AD39+AH40*AD38+AI40*AD37+AJ40*AD36+AK40*AD35+AL40*AD34+AM40*AD33+AN40*AD32+AO40*AD31+AP40*AD30+AQ40*AD29+AR40*AD28+AS40*AD27+AT40*AD26))/(1-(AF40*AD26+AG40*AD27+AH40*AD28+AI40*AD29+AJ40*AD30+AK40*AD31+AL40*AD32+AM40*AD33+AN40*AD34+AO40*AD35+AP40*AD36+AQ40*AD37+AR40*AD38+AS40*AD39+AT40*AD40))</f>
        <v>-3.4990904092403664E-2</v>
      </c>
      <c r="AV41" s="31"/>
      <c r="AW41" s="46"/>
      <c r="AX41" s="46"/>
      <c r="AY41" s="46"/>
    </row>
    <row r="42" spans="1:51" x14ac:dyDescent="0.3">
      <c r="A42" s="27">
        <v>41</v>
      </c>
      <c r="B42" s="39">
        <v>367.96</v>
      </c>
      <c r="C42" s="28">
        <f t="shared" si="1"/>
        <v>-3.931125000000236</v>
      </c>
      <c r="J42" s="33">
        <f t="shared" ca="1" si="4"/>
        <v>2.75</v>
      </c>
      <c r="K42" s="34">
        <f t="shared" ca="1" si="5"/>
        <v>57.8735</v>
      </c>
      <c r="N42" s="31"/>
      <c r="AC42" s="42">
        <v>17</v>
      </c>
      <c r="AD42" s="43">
        <f t="shared" ca="1" si="17"/>
        <v>-3.8360263615366694E-2</v>
      </c>
      <c r="AE42" s="45">
        <f ca="1">AV42</f>
        <v>-3.8825486563157423E-2</v>
      </c>
      <c r="AF42" s="45">
        <f ca="1">AF41-(AU41*AV42)</f>
        <v>0.96468622591432318</v>
      </c>
      <c r="AG42" s="45">
        <f ca="1">AG41-(AT41*AV42)</f>
        <v>6.3217298703271253E-5</v>
      </c>
      <c r="AH42" s="45">
        <f ca="1">AH41-(AS41*AV42)</f>
        <v>2.326537103058884E-3</v>
      </c>
      <c r="AI42" s="31">
        <f ca="1">AI41-(AR41*AV42)</f>
        <v>2.1476976989203596E-3</v>
      </c>
      <c r="AJ42" s="31">
        <f ca="1">AJ41-(AQ41*AV42)</f>
        <v>-2.0221411090846596E-2</v>
      </c>
      <c r="AK42" s="31">
        <f ca="1">AK41-(AP41*AV42)</f>
        <v>-2.7560339390594429E-4</v>
      </c>
      <c r="AL42" s="31">
        <f ca="1">AL41-(AO41*AV42)</f>
        <v>-1.3649951734183701E-4</v>
      </c>
      <c r="AM42" s="31">
        <f ca="1">AM41-(AN41*AV42)</f>
        <v>-6.5637115095788638E-4</v>
      </c>
      <c r="AN42" s="31">
        <f ca="1">AN41-(AM41*AV42)</f>
        <v>-1.564111812010878E-3</v>
      </c>
      <c r="AO42" s="31">
        <f ca="1">AO41-(AL41*AV42)</f>
        <v>1.9648159872877932E-3</v>
      </c>
      <c r="AP42" s="31">
        <f ca="1">AP41-(AK41*AV42)</f>
        <v>1.4751259182476878E-3</v>
      </c>
      <c r="AQ42" s="31">
        <f ca="1">AQ41-(AJ41*AV42)</f>
        <v>-0.48873819717825973</v>
      </c>
      <c r="AR42" s="31">
        <f ca="1">AR41-(AI41*AV42)</f>
        <v>0.47047289822312172</v>
      </c>
      <c r="AS42" s="31">
        <f ca="1">AS41-(AH41*AV42)</f>
        <v>3.9236160661025848E-4</v>
      </c>
      <c r="AT42" s="31">
        <f ca="1">AT41-(AG41*AV42)</f>
        <v>1.417776623147501E-3</v>
      </c>
      <c r="AU42" s="31">
        <f ca="1">AU41-(AF41*AV42)</f>
        <v>2.5162539423977046E-3</v>
      </c>
      <c r="AV42" s="44">
        <f ca="1">(AD42-(AF41*AD41+AG41*AD40+AH41*AD39+AI41*AD38+AJ41*AD37+AK41*AD36+AL41*AD35+AM41*AD34+AN41*AD33+AO41*AD32+AP41*AD31+AQ41*AD30+AR41*AD29+AS41*AD28+AT41*AD27+AU41*AD26))/(1-(AF41*AD26+AG41*AD27+AH41*AD28+AI41*AD29+AJ41*AD30+AK41*AD31+AL41*AD32+AM41*AD33+AN41*AD34+AO41*AD35+AP41*AD36+AQ41*AD37+AR41*AD38+AS41*AD39+AT41*AD40+AU41*AD41))</f>
        <v>-3.8825486563157423E-2</v>
      </c>
      <c r="AW42" s="46"/>
      <c r="AX42" s="46"/>
      <c r="AY42" s="46"/>
    </row>
    <row r="43" spans="1:51" x14ac:dyDescent="0.3">
      <c r="A43" s="27">
        <v>42</v>
      </c>
      <c r="B43" s="39">
        <v>368.09</v>
      </c>
      <c r="C43" s="28">
        <f t="shared" si="1"/>
        <v>-3.8011250000002406</v>
      </c>
      <c r="J43" s="33">
        <f t="shared" ca="1" si="4"/>
        <v>2.160000000000025</v>
      </c>
      <c r="K43" s="34">
        <f t="shared" ca="1" si="5"/>
        <v>57.283500000000025</v>
      </c>
      <c r="N43" s="31"/>
      <c r="AC43" s="49">
        <v>18</v>
      </c>
      <c r="AD43" s="43">
        <f t="shared" ca="1" si="17"/>
        <v>-4.0909177490718485E-2</v>
      </c>
      <c r="AE43" s="45">
        <f t="shared" ref="AE43:AE45" ca="1" si="18">AV43</f>
        <v>-3.9555609636435438E-3</v>
      </c>
      <c r="AF43" s="45">
        <f ca="1">AF42-(AV42*AW43)</f>
        <v>0.96328282469281301</v>
      </c>
      <c r="AG43" s="45">
        <f ca="1">AG42-(AU42*AW43)</f>
        <v>1.5417079778296482E-4</v>
      </c>
      <c r="AH43" s="45">
        <f ca="1">AH42-(AT42*AW43)</f>
        <v>2.3777846113551973E-3</v>
      </c>
      <c r="AI43" s="31">
        <f ca="1">AI42-(AS42*AW43)</f>
        <v>2.1618801550009757E-3</v>
      </c>
      <c r="AJ43" s="31">
        <f ca="1">AJ42-(AR42*AW43)</f>
        <v>-3.2155137151698224E-3</v>
      </c>
      <c r="AK43" s="31">
        <f ca="1">AK42-(AQ42*AW43)</f>
        <v>-1.7941725408962102E-2</v>
      </c>
      <c r="AL43" s="31">
        <f ca="1">AL42-(AP42*AW43)</f>
        <v>-8.3179038996187042E-5</v>
      </c>
      <c r="AM43" s="31">
        <f ca="1">AM42-(AO42*AW43)</f>
        <v>-5.8535014386459591E-4</v>
      </c>
      <c r="AN43" s="31">
        <f ca="1">AN42-(AN42*AW43)</f>
        <v>-1.6206488092738451E-3</v>
      </c>
      <c r="AO43" s="31">
        <f ca="1">AO42-(AM42*AW43)</f>
        <v>1.941090538966111E-3</v>
      </c>
      <c r="AP43" s="31">
        <f ca="1">AP42-(AL42*AW43)</f>
        <v>1.4701919533104688E-3</v>
      </c>
      <c r="AQ43" s="31">
        <f ca="1">AQ42-(AK42*AW43)</f>
        <v>-0.48874815924632115</v>
      </c>
      <c r="AR43" s="31">
        <f ca="1">AR42-(AJ42*AW43)</f>
        <v>0.4697419671894722</v>
      </c>
      <c r="AS43" s="31">
        <f ca="1">AS42-(AI42*AW43)</f>
        <v>4.6999312757513989E-4</v>
      </c>
      <c r="AT43" s="31">
        <f ca="1">AT42-(AH42*AW43)</f>
        <v>1.501872543156394E-3</v>
      </c>
      <c r="AU43" s="31">
        <f ca="1">AU42-(AG42*AW43)</f>
        <v>2.5185390196001867E-3</v>
      </c>
      <c r="AV43" s="50">
        <f ca="1">AV42-(AF42*AW43)</f>
        <v>-3.9555609636435438E-3</v>
      </c>
      <c r="AW43" s="44">
        <f ca="1">(AD43-(AF42*AD42+AG42*AD41+AH42*AD40+AI42*AD39+AJ42*AD38+AK42*AD37+AL42*AD36+AM42*AD35+AN42*AD34+AO42*AD33+AP42*AD32+AQ42*AD31+AR42*AD30+AS42*AD29+AT42*AD28+AU42*AD27+AV42*AD26))/(1-(AF42*AD26+AG42*AD27+AH42*AD28+AI42*AD29+AJ42*AD30+AK42*AD31+AL42*AD32+AM42*AD33+AN42*AD34+AO42*AD35+AP42*AD36+AQ42*AD37+AR42*AD38+AS42*AD39+AT42*AD40+AU42*AD41+AV42*AD42))</f>
        <v>-3.614639108842297E-2</v>
      </c>
      <c r="AX43" s="46"/>
      <c r="AY43" s="46"/>
    </row>
    <row r="44" spans="1:51" x14ac:dyDescent="0.3">
      <c r="A44" s="27">
        <v>43</v>
      </c>
      <c r="B44" s="39">
        <v>369.68</v>
      </c>
      <c r="C44" s="28">
        <f t="shared" si="1"/>
        <v>-2.2111250000002087</v>
      </c>
      <c r="J44" s="33">
        <f t="shared" ca="1" si="4"/>
        <v>2.3999999999999773</v>
      </c>
      <c r="K44" s="34">
        <f t="shared" ca="1" si="5"/>
        <v>57.523499999999977</v>
      </c>
      <c r="N44" s="31"/>
      <c r="AC44" s="49">
        <v>19</v>
      </c>
      <c r="AD44" s="43">
        <f t="shared" ca="1" si="17"/>
        <v>-4.3431016069206567E-2</v>
      </c>
      <c r="AE44" s="45">
        <f t="shared" ca="1" si="18"/>
        <v>-3.9498066841337463E-3</v>
      </c>
      <c r="AF44" s="45">
        <f ca="1">AF43-(AW43*AX44)</f>
        <v>0.96193369476299284</v>
      </c>
      <c r="AG44" s="45">
        <f ca="1">AG43-(AV43*AX44)</f>
        <v>6.5332183569807986E-6</v>
      </c>
      <c r="AH44" s="45">
        <f ca="1">AH43-(AU43*AX44)</f>
        <v>2.4717867030840937E-3</v>
      </c>
      <c r="AI44" s="31">
        <f ca="1">AI43-(AT43*AX44)</f>
        <v>2.2179361300993126E-3</v>
      </c>
      <c r="AJ44" s="31">
        <f ca="1">AJ43-(AS43*AX44)</f>
        <v>-3.1979716652962877E-3</v>
      </c>
      <c r="AK44" s="31">
        <f ca="1">AK43-(AR43*AX44)</f>
        <v>-4.0904985975944233E-4</v>
      </c>
      <c r="AL44" s="31">
        <f ca="1">AL43-(AP43*AX44)</f>
        <v>-2.8305512011437243E-5</v>
      </c>
      <c r="AM44" s="31">
        <f ca="1">AM43-(AP43*AX44)</f>
        <v>-5.3047661687984614E-4</v>
      </c>
      <c r="AN44" s="31">
        <f ca="1">AN43-(AO43*AX44)</f>
        <v>-1.5481994370473422E-3</v>
      </c>
      <c r="AO44" s="31">
        <f ca="1">AO43-(AN43*AX44)</f>
        <v>1.8806013518444951E-3</v>
      </c>
      <c r="AP44" s="31">
        <f ca="1">AP43-(AM43*AX44)</f>
        <v>1.4483443116861522E-3</v>
      </c>
      <c r="AQ44" s="31">
        <f ca="1">AQ43-(AL43*AX44)</f>
        <v>-0.48875126382544132</v>
      </c>
      <c r="AR44" s="31">
        <f ca="1">AR43-(AK43*AX44)</f>
        <v>0.46907230922326937</v>
      </c>
      <c r="AS44" s="31">
        <f ca="1">AS43-(AJ43*AX44)</f>
        <v>3.4997711318879049E-4</v>
      </c>
      <c r="AT44" s="31">
        <f ca="1">AT43-(AI43*AX44)</f>
        <v>1.5825626794043301E-3</v>
      </c>
      <c r="AU44" s="31">
        <f ca="1">AU43-(AH43*AX44)</f>
        <v>2.60728758589544E-3</v>
      </c>
      <c r="AV44" s="50">
        <f ca="1">AV43-(AG43*AX44)</f>
        <v>-3.9498066841337463E-3</v>
      </c>
      <c r="AW44" s="50">
        <f ca="1">AW43-(AF43*AX44)</f>
        <v>-1.9276887215131933E-4</v>
      </c>
      <c r="AX44" s="44">
        <f ca="1">(AD44-(AF43*AD43+AG43*AD42+AH43*AD41+AI43*AD40+AJ43*AD39+AK43*AD38+AL43*AD37+AM43*AD36+AN43*AD35+AO43*AD34+AP43*AD33+AQ43*AD32+AR43*AD31+AS43*AD30+AT43*AD29+AU43*AD28+AV43*AD27+AW43*AD26))/(1-(AF43*AD26+AG43*AD27+AH43*AD28+AI43*AD29+AJ43*AD30+AK43*AD31+AL43*AD32+AM43*AD33+AN43*AD34+AO43*AD35+AP43*AD36+AQ43*AD37+AR43*AD38+AS43*AD39+AT43*AD40+AU43*AD41+AV43*AD42+AW43*AD43))</f>
        <v>-3.73240561283101E-2</v>
      </c>
      <c r="AY44" s="46"/>
    </row>
    <row r="45" spans="1:51" x14ac:dyDescent="0.3">
      <c r="A45" s="27">
        <v>44</v>
      </c>
      <c r="B45" s="39">
        <v>371.24</v>
      </c>
      <c r="C45" s="28">
        <f t="shared" si="1"/>
        <v>-0.65112500000020646</v>
      </c>
      <c r="J45" s="33">
        <f t="shared" ca="1" si="4"/>
        <v>2.5399999999999636</v>
      </c>
      <c r="K45" s="34">
        <f t="shared" ca="1" si="5"/>
        <v>57.663499999999964</v>
      </c>
      <c r="N45" s="31"/>
      <c r="AC45" s="49">
        <v>20</v>
      </c>
      <c r="AD45" s="43">
        <f t="shared" ca="1" si="17"/>
        <v>-4.5787226296000773E-2</v>
      </c>
      <c r="AE45" s="45">
        <f t="shared" ca="1" si="18"/>
        <v>-3.862682988839863E-3</v>
      </c>
      <c r="AF45" s="45">
        <f ca="1">AF44-(AX44*AY45)</f>
        <v>0.96061812425312754</v>
      </c>
      <c r="AG45" s="45">
        <f ca="1">AG44-(AW44*AY45)</f>
        <v>-2.6135516285485988E-7</v>
      </c>
      <c r="AH45" s="45">
        <f ca="1">AH44-(AV44*AY45)</f>
        <v>2.3325668611823454E-3</v>
      </c>
      <c r="AI45" s="31">
        <f ca="1">AI44-(AU44*AG45)</f>
        <v>2.2179368115273841E-3</v>
      </c>
      <c r="AJ45" s="31">
        <f ca="1">AJ44-(AT44*AY45)</f>
        <v>-3.142190675580686E-3</v>
      </c>
      <c r="AK45" s="31">
        <f ca="1">AK44-(AS44*AY45)</f>
        <v>-3.9671412733914552E-4</v>
      </c>
      <c r="AL45" s="31">
        <f ca="1">AL44-(AP44*AY45)</f>
        <v>2.2744648722306414E-5</v>
      </c>
      <c r="AM45" s="31">
        <f ca="1">AM44-(AQ44*AY45)</f>
        <v>-1.7757616859562578E-2</v>
      </c>
      <c r="AN45" s="31">
        <f ca="1">AN44-(AP44*AY45)</f>
        <v>-1.4971492763135987E-3</v>
      </c>
      <c r="AO45" s="31">
        <f ca="1">AO44-(AO44*AY45)</f>
        <v>1.9468873865346778E-3</v>
      </c>
      <c r="AP45" s="31">
        <f ca="1">AP44-(AN44*AY45)</f>
        <v>1.3937745319235312E-3</v>
      </c>
      <c r="AQ45" s="31">
        <f ca="1">AQ44-(AM44*AY45)</f>
        <v>-0.48876996166982728</v>
      </c>
      <c r="AR45" s="31">
        <f ca="1">AR44-(AL44*AY45)</f>
        <v>0.4690713115316803</v>
      </c>
      <c r="AS45" s="31">
        <f ca="1">AS44-(AK44*AY45)</f>
        <v>3.3555922862892084E-4</v>
      </c>
      <c r="AT45" s="31">
        <f ca="1">AT44-(AJ44*AY45)</f>
        <v>1.469842957844979E-3</v>
      </c>
      <c r="AU45" s="31">
        <f ca="1">AU44-(AI44*AY45)</f>
        <v>2.6854637454074904E-3</v>
      </c>
      <c r="AV45" s="50">
        <f ca="1">AV44-(AH44*AY45)</f>
        <v>-3.862682988839863E-3</v>
      </c>
      <c r="AW45" s="50">
        <f ca="1">AW44-(AF44*AY45)</f>
        <v>3.3712752996253592E-2</v>
      </c>
      <c r="AX45" s="50">
        <f ca="1">AX44-(AF44*AY45)</f>
        <v>-3.4185342599051885E-3</v>
      </c>
      <c r="AY45" s="44">
        <f ca="1">(AD45-(AF44*AD44+AG44*AD43+AH44*AD42+AI44*AD41+AJ44*AD40+AK44*AD39+AL44*AD38+AM44*AD37+AN44*AD36+AO44*AD35+AP44*AD34+AQ44*AD33+AR44*AD32+AS44*AD31+AT44*AD30+AU44*AD29+AV44*AD28+AW44*AD27+AX44*AD26))/(1-(AF44*AD26+AG44*AD27+AH44*AD28+AI44*AD29+AJ44*AD30+AK44*AD31+AL44*AD32+AM44*AD33+AN44*AD34+AO44*AD35+AP44*AD36+AQ44*AD37+AR44*AD38+AS44*AD39+AT44*AD40+AU44*AD41+AV44*AD42+AW44*AD43+AX44*AD44))</f>
        <v>-3.5247254621597141E-2</v>
      </c>
    </row>
    <row r="46" spans="1:51" x14ac:dyDescent="0.3">
      <c r="A46" s="27">
        <v>45</v>
      </c>
      <c r="B46" s="39">
        <v>372.43</v>
      </c>
      <c r="C46" s="28">
        <f t="shared" si="1"/>
        <v>0.53887499999979127</v>
      </c>
      <c r="J46" s="33">
        <f t="shared" ca="1" si="4"/>
        <v>2.25</v>
      </c>
      <c r="K46" s="34">
        <f t="shared" ca="1" si="5"/>
        <v>57.3735</v>
      </c>
      <c r="N46" s="31"/>
    </row>
    <row r="47" spans="1:51" x14ac:dyDescent="0.3">
      <c r="A47" s="27">
        <v>46</v>
      </c>
      <c r="B47" s="39">
        <v>373.09</v>
      </c>
      <c r="C47" s="28">
        <f t="shared" si="1"/>
        <v>1.1988749999997594</v>
      </c>
      <c r="J47" s="33">
        <f t="shared" ca="1" si="4"/>
        <v>2.5400000000000205</v>
      </c>
      <c r="K47" s="34">
        <f t="shared" ca="1" si="5"/>
        <v>57.66350000000002</v>
      </c>
      <c r="N47" s="31"/>
    </row>
    <row r="48" spans="1:51" x14ac:dyDescent="0.3">
      <c r="A48" s="27">
        <v>47</v>
      </c>
      <c r="B48" s="39">
        <v>373.52</v>
      </c>
      <c r="C48" s="28">
        <f t="shared" si="1"/>
        <v>1.6288749999997663</v>
      </c>
      <c r="J48" s="33">
        <f t="shared" ca="1" si="4"/>
        <v>2.5900000000000318</v>
      </c>
      <c r="K48" s="34">
        <f t="shared" ca="1" si="5"/>
        <v>57.713500000000032</v>
      </c>
      <c r="N48" s="31"/>
    </row>
    <row r="49" spans="1:14" x14ac:dyDescent="0.3">
      <c r="A49" s="27">
        <v>48</v>
      </c>
      <c r="B49" s="39">
        <v>374.86</v>
      </c>
      <c r="C49" s="28">
        <f t="shared" si="1"/>
        <v>2.9688749999997981</v>
      </c>
      <c r="J49" s="33">
        <f t="shared" ca="1" si="4"/>
        <v>2.7899999999999636</v>
      </c>
      <c r="K49" s="34">
        <f t="shared" ca="1" si="5"/>
        <v>57.913499999999964</v>
      </c>
      <c r="N49" s="31"/>
    </row>
    <row r="50" spans="1:14" x14ac:dyDescent="0.3">
      <c r="A50" s="27">
        <v>49</v>
      </c>
      <c r="B50" s="39">
        <v>375.55</v>
      </c>
      <c r="C50" s="28">
        <f t="shared" si="1"/>
        <v>3.6588749999997958</v>
      </c>
      <c r="J50" s="33">
        <f t="shared" ca="1" si="4"/>
        <v>2.8000000000000114</v>
      </c>
      <c r="K50" s="34">
        <f t="shared" ca="1" si="5"/>
        <v>57.923500000000011</v>
      </c>
      <c r="N50" s="31"/>
    </row>
    <row r="51" spans="1:14" x14ac:dyDescent="0.3">
      <c r="A51" s="27">
        <v>50</v>
      </c>
      <c r="B51" s="39">
        <v>375.41</v>
      </c>
      <c r="C51" s="28">
        <f t="shared" si="1"/>
        <v>3.5188749999998095</v>
      </c>
      <c r="J51" s="33">
        <f t="shared" ca="1" si="4"/>
        <v>2.7199999999999704</v>
      </c>
      <c r="K51" s="34">
        <f t="shared" ca="1" si="5"/>
        <v>57.84349999999997</v>
      </c>
      <c r="N51" s="31"/>
    </row>
    <row r="52" spans="1:14" x14ac:dyDescent="0.3">
      <c r="A52" s="27">
        <v>51</v>
      </c>
      <c r="B52" s="39">
        <v>374.02</v>
      </c>
      <c r="C52" s="28">
        <f t="shared" si="1"/>
        <v>2.1288749999997663</v>
      </c>
      <c r="J52" s="33">
        <f t="shared" ca="1" si="4"/>
        <v>2.6000000000000227</v>
      </c>
      <c r="K52" s="34">
        <f t="shared" ca="1" si="5"/>
        <v>57.723500000000023</v>
      </c>
      <c r="N52" s="31"/>
    </row>
    <row r="53" spans="1:14" x14ac:dyDescent="0.3">
      <c r="A53" s="27">
        <v>52</v>
      </c>
      <c r="B53" s="39">
        <v>371.49</v>
      </c>
      <c r="C53" s="28">
        <f t="shared" si="1"/>
        <v>-0.40112500000020646</v>
      </c>
      <c r="J53" s="33">
        <f t="shared" ca="1" si="4"/>
        <v>3.0099999999999909</v>
      </c>
      <c r="K53" s="34">
        <f t="shared" ca="1" si="5"/>
        <v>58.133499999999991</v>
      </c>
      <c r="N53" s="31"/>
    </row>
    <row r="54" spans="1:14" x14ac:dyDescent="0.3">
      <c r="A54" s="27">
        <v>53</v>
      </c>
      <c r="B54" s="39">
        <v>370.71</v>
      </c>
      <c r="C54" s="28">
        <f t="shared" si="1"/>
        <v>-1.181125000000236</v>
      </c>
      <c r="J54" s="33">
        <f t="shared" ca="1" si="4"/>
        <v>2.2800000000000296</v>
      </c>
      <c r="K54" s="34">
        <f t="shared" ca="1" si="5"/>
        <v>57.40350000000003</v>
      </c>
      <c r="N54" s="31"/>
    </row>
    <row r="55" spans="1:14" x14ac:dyDescent="0.3">
      <c r="A55" s="27">
        <v>54</v>
      </c>
      <c r="B55" s="39">
        <v>370.25</v>
      </c>
      <c r="C55" s="28">
        <f t="shared" si="1"/>
        <v>-1.6411250000002156</v>
      </c>
      <c r="J55" s="33">
        <f t="shared" ca="1" si="4"/>
        <v>2.75</v>
      </c>
      <c r="K55" s="34">
        <f t="shared" ca="1" si="5"/>
        <v>57.8735</v>
      </c>
      <c r="N55" s="31"/>
    </row>
    <row r="56" spans="1:14" x14ac:dyDescent="0.3">
      <c r="A56" s="27">
        <v>55</v>
      </c>
      <c r="B56" s="39">
        <v>372.08</v>
      </c>
      <c r="C56" s="28">
        <f t="shared" si="1"/>
        <v>0.18887499999976853</v>
      </c>
      <c r="J56" s="33">
        <f t="shared" ca="1" si="4"/>
        <v>2.2700000000000387</v>
      </c>
      <c r="K56" s="34">
        <f t="shared" ca="1" si="5"/>
        <v>57.393500000000039</v>
      </c>
      <c r="N56" s="31"/>
    </row>
    <row r="57" spans="1:14" x14ac:dyDescent="0.3">
      <c r="A57" s="27">
        <v>56</v>
      </c>
      <c r="B57" s="39">
        <v>373.78</v>
      </c>
      <c r="C57" s="28">
        <f t="shared" si="1"/>
        <v>1.8888749999997572</v>
      </c>
      <c r="J57" s="33">
        <f t="shared" ca="1" si="4"/>
        <v>1.9200000000000159</v>
      </c>
      <c r="K57" s="34">
        <f t="shared" ca="1" si="5"/>
        <v>57.043500000000016</v>
      </c>
      <c r="N57" s="31"/>
    </row>
    <row r="58" spans="1:14" x14ac:dyDescent="0.3">
      <c r="A58" s="27">
        <v>57</v>
      </c>
      <c r="B58" s="39">
        <v>374.68</v>
      </c>
      <c r="C58" s="28">
        <f t="shared" si="1"/>
        <v>2.7888749999997913</v>
      </c>
      <c r="J58" s="33">
        <f t="shared" ca="1" si="4"/>
        <v>2.1100000000000136</v>
      </c>
      <c r="K58" s="34">
        <f t="shared" ca="1" si="5"/>
        <v>57.233500000000014</v>
      </c>
      <c r="N58" s="31"/>
    </row>
    <row r="59" spans="1:14" x14ac:dyDescent="0.3">
      <c r="A59" s="27">
        <v>58</v>
      </c>
      <c r="B59" s="39">
        <v>375.63</v>
      </c>
      <c r="C59" s="28">
        <f t="shared" si="1"/>
        <v>3.7388749999997799</v>
      </c>
      <c r="J59" s="33">
        <f t="shared" ca="1" si="4"/>
        <v>1.7400000000000091</v>
      </c>
      <c r="K59" s="34">
        <f t="shared" ca="1" si="5"/>
        <v>56.863500000000009</v>
      </c>
      <c r="N59" s="31"/>
    </row>
    <row r="60" spans="1:14" x14ac:dyDescent="0.3">
      <c r="A60" s="27">
        <v>59</v>
      </c>
      <c r="B60" s="39">
        <v>376.11</v>
      </c>
      <c r="C60" s="28">
        <f t="shared" si="1"/>
        <v>4.2188749999997981</v>
      </c>
      <c r="J60" s="33">
        <f t="shared" ca="1" si="4"/>
        <v>2.3000000000000114</v>
      </c>
      <c r="K60" s="34">
        <f t="shared" ca="1" si="5"/>
        <v>57.423500000000011</v>
      </c>
      <c r="N60" s="31"/>
    </row>
    <row r="61" spans="1:14" x14ac:dyDescent="0.3">
      <c r="A61" s="27">
        <v>60</v>
      </c>
      <c r="B61" s="39">
        <v>377.65</v>
      </c>
      <c r="C61" s="28">
        <f t="shared" si="1"/>
        <v>5.7588749999997617</v>
      </c>
      <c r="J61" s="33">
        <f t="shared" ca="1" si="4"/>
        <v>2.8700000000000045</v>
      </c>
      <c r="K61" s="34">
        <f t="shared" ca="1" si="5"/>
        <v>57.993500000000004</v>
      </c>
      <c r="N61" s="31"/>
    </row>
    <row r="62" spans="1:14" x14ac:dyDescent="0.3">
      <c r="A62" s="27">
        <v>61</v>
      </c>
      <c r="B62" s="39">
        <v>378.35</v>
      </c>
      <c r="C62" s="28">
        <f t="shared" si="1"/>
        <v>6.4588749999998072</v>
      </c>
      <c r="J62" s="33">
        <f t="shared" ca="1" si="4"/>
        <v>2.2799999999999727</v>
      </c>
      <c r="K62" s="34">
        <f t="shared" ca="1" si="5"/>
        <v>57.403499999999973</v>
      </c>
      <c r="N62" s="31"/>
    </row>
    <row r="63" spans="1:14" x14ac:dyDescent="0.3">
      <c r="A63" s="27">
        <v>62</v>
      </c>
      <c r="B63" s="39">
        <v>378.13</v>
      </c>
      <c r="C63" s="28">
        <f t="shared" si="1"/>
        <v>6.2388749999997799</v>
      </c>
      <c r="J63" s="33">
        <f t="shared" ca="1" si="4"/>
        <v>1.4399999999999977</v>
      </c>
      <c r="K63" s="34">
        <f t="shared" ca="1" si="5"/>
        <v>56.563499999999998</v>
      </c>
      <c r="N63" s="31"/>
    </row>
    <row r="64" spans="1:14" x14ac:dyDescent="0.3">
      <c r="A64" s="27">
        <v>63</v>
      </c>
      <c r="B64" s="39">
        <v>376.62</v>
      </c>
      <c r="C64" s="28">
        <f t="shared" si="1"/>
        <v>4.728874999999789</v>
      </c>
      <c r="J64" s="33">
        <f t="shared" ca="1" si="4"/>
        <v>1.1700000000000159</v>
      </c>
      <c r="K64" s="34">
        <f t="shared" ca="1" si="5"/>
        <v>56.293500000000016</v>
      </c>
      <c r="N64" s="31"/>
    </row>
    <row r="65" spans="1:14" x14ac:dyDescent="0.3">
      <c r="A65" s="27">
        <v>64</v>
      </c>
      <c r="B65" s="39">
        <v>374.5</v>
      </c>
      <c r="C65" s="28">
        <f t="shared" si="1"/>
        <v>2.6088749999997844</v>
      </c>
      <c r="J65" s="33">
        <f t="shared" ca="1" si="4"/>
        <v>1.3600000000000136</v>
      </c>
      <c r="K65" s="34">
        <f t="shared" ca="1" si="5"/>
        <v>56.483500000000014</v>
      </c>
      <c r="N65" s="31"/>
    </row>
    <row r="66" spans="1:14" x14ac:dyDescent="0.3">
      <c r="A66" s="27">
        <v>65</v>
      </c>
      <c r="B66" s="39">
        <v>372.99</v>
      </c>
      <c r="C66" s="28">
        <f t="shared" si="1"/>
        <v>1.0988749999997935</v>
      </c>
      <c r="J66" s="33">
        <f t="shared" ca="1" si="4"/>
        <v>1.0699999999999932</v>
      </c>
      <c r="K66" s="34">
        <f t="shared" ca="1" si="5"/>
        <v>56.193499999999993</v>
      </c>
      <c r="N66" s="31"/>
    </row>
    <row r="67" spans="1:14" x14ac:dyDescent="0.3">
      <c r="A67" s="27">
        <v>66</v>
      </c>
      <c r="B67" s="39">
        <v>373</v>
      </c>
      <c r="C67" s="28">
        <f t="shared" ref="C67:C81" si="19">B67-AVERAGE($B$2:$B$81)</f>
        <v>1.1088749999997844</v>
      </c>
      <c r="J67" s="33">
        <f t="shared" ref="J67:J72" ca="1" si="20">IF($I$2=1,B68-OFFSET(B68,-$I$2,0),IF($I$2=2,B69-OFFSET(B69,-$I$2,0),IF($I$2=3,B70-OFFSET(B70,-$I$2,0),IF($I$2=4,B71-OFFSET(B71,-$I$2,0),IF($I$2=5,B72-OFFSET(B72,-$I$2,0),IF($I$2=7,B74-OFFSET(B74,-$I$2,0),IF($I$2=12,B79-OFFSET(B79,-$I$2,0),IF($I$2=30,B97-OFFSET(B97,-$I$2,0),0))))))))</f>
        <v>1.2400000000000091</v>
      </c>
      <c r="K67" s="34">
        <f t="shared" ref="K67:K81" ca="1" si="21">J67-AVERAGE($J$2:$J$81)</f>
        <v>56.363500000000009</v>
      </c>
      <c r="N67" s="31"/>
    </row>
    <row r="68" spans="1:14" x14ac:dyDescent="0.3">
      <c r="A68" s="27">
        <v>67</v>
      </c>
      <c r="B68" s="39">
        <v>374.35</v>
      </c>
      <c r="C68" s="28">
        <f t="shared" si="19"/>
        <v>2.4588749999998072</v>
      </c>
      <c r="J68" s="33">
        <f t="shared" ca="1" si="20"/>
        <v>1.5099999999999909</v>
      </c>
      <c r="K68" s="34">
        <f t="shared" ca="1" si="21"/>
        <v>56.633499999999991</v>
      </c>
      <c r="N68" s="31"/>
    </row>
    <row r="69" spans="1:14" x14ac:dyDescent="0.3">
      <c r="A69" s="27">
        <v>68</v>
      </c>
      <c r="B69" s="39">
        <v>375.7</v>
      </c>
      <c r="C69" s="28">
        <f t="shared" si="19"/>
        <v>3.8088749999997731</v>
      </c>
      <c r="J69" s="33">
        <f t="shared" ca="1" si="20"/>
        <v>1.7800000000000296</v>
      </c>
      <c r="K69" s="34">
        <f t="shared" ca="1" si="21"/>
        <v>56.90350000000003</v>
      </c>
      <c r="N69" s="31"/>
    </row>
    <row r="70" spans="1:14" x14ac:dyDescent="0.3">
      <c r="A70" s="27">
        <v>69</v>
      </c>
      <c r="B70" s="39">
        <v>376.79</v>
      </c>
      <c r="C70" s="28">
        <f t="shared" si="19"/>
        <v>4.8988749999998049</v>
      </c>
      <c r="J70" s="33">
        <f t="shared" ca="1" si="20"/>
        <v>-376.79</v>
      </c>
      <c r="K70" s="34">
        <f t="shared" ca="1" si="21"/>
        <v>-321.66650000000004</v>
      </c>
      <c r="N70" s="31"/>
    </row>
    <row r="71" spans="1:14" x14ac:dyDescent="0.3">
      <c r="A71" s="27">
        <v>70</v>
      </c>
      <c r="B71" s="39">
        <v>377.37</v>
      </c>
      <c r="C71" s="28">
        <f t="shared" si="19"/>
        <v>5.478874999999789</v>
      </c>
      <c r="J71" s="33">
        <f t="shared" ca="1" si="20"/>
        <v>-377.37</v>
      </c>
      <c r="K71" s="34">
        <f t="shared" ca="1" si="21"/>
        <v>-322.24650000000003</v>
      </c>
      <c r="N71" s="31"/>
    </row>
    <row r="72" spans="1:14" x14ac:dyDescent="0.3">
      <c r="A72" s="27">
        <v>71</v>
      </c>
      <c r="B72" s="39">
        <v>378.41</v>
      </c>
      <c r="C72" s="28">
        <f t="shared" si="19"/>
        <v>6.5188749999998095</v>
      </c>
      <c r="J72" s="33">
        <f t="shared" ca="1" si="20"/>
        <v>-378.41</v>
      </c>
      <c r="K72" s="34">
        <f t="shared" ca="1" si="21"/>
        <v>-323.28650000000005</v>
      </c>
      <c r="N72" s="31"/>
    </row>
    <row r="73" spans="1:14" x14ac:dyDescent="0.3">
      <c r="A73" s="27">
        <v>72</v>
      </c>
      <c r="B73" s="39">
        <v>380.52</v>
      </c>
      <c r="C73" s="28">
        <f t="shared" si="19"/>
        <v>8.6288749999997663</v>
      </c>
      <c r="J73" s="33">
        <f t="shared" ref="J73:J81" ca="1" si="22">IF($I$2=1,B74-OFFSET(B74,-$I$2,0),IF($I$2=2,B75-OFFSET(B75,-$I$2,0),IF($I$2=3,B76-OFFSET(B76,-$I$2,0),IF($I$2=4,B77-OFFSET(B77,-$I$2,0),IF($I$2=5,B78-OFFSET(B78,-$I$2,0),IF($I$2=7,B80-OFFSET(B80,-$I$2,0),IF($I$2=12,B85-OFFSET(B85,-$I$2,0),IF($I$2=30,B103-OFFSET(B103,-$I$2,0),0))))))))</f>
        <v>-380.52</v>
      </c>
      <c r="K73" s="34">
        <f t="shared" ca="1" si="21"/>
        <v>-325.3965</v>
      </c>
    </row>
    <row r="74" spans="1:14" x14ac:dyDescent="0.3">
      <c r="A74" s="27">
        <v>73</v>
      </c>
      <c r="B74" s="39">
        <v>380.63</v>
      </c>
      <c r="C74" s="28">
        <f t="shared" si="19"/>
        <v>8.7388749999997799</v>
      </c>
      <c r="J74" s="33">
        <f t="shared" ca="1" si="22"/>
        <v>-380.63</v>
      </c>
      <c r="K74" s="34">
        <f t="shared" ca="1" si="21"/>
        <v>-325.50650000000002</v>
      </c>
    </row>
    <row r="75" spans="1:14" x14ac:dyDescent="0.3">
      <c r="A75" s="27">
        <v>74</v>
      </c>
      <c r="B75" s="39">
        <v>379.57</v>
      </c>
      <c r="C75" s="28">
        <f t="shared" si="19"/>
        <v>7.6788749999997776</v>
      </c>
      <c r="J75" s="33">
        <f t="shared" ca="1" si="22"/>
        <v>-379.57</v>
      </c>
      <c r="K75" s="34">
        <f t="shared" ca="1" si="21"/>
        <v>-324.44650000000001</v>
      </c>
    </row>
    <row r="76" spans="1:14" x14ac:dyDescent="0.3">
      <c r="A76" s="27">
        <v>75</v>
      </c>
      <c r="B76" s="39">
        <v>377.79</v>
      </c>
      <c r="C76" s="28">
        <f t="shared" si="19"/>
        <v>5.8988749999998049</v>
      </c>
      <c r="J76" s="33">
        <f t="shared" ca="1" si="22"/>
        <v>-377.79</v>
      </c>
      <c r="K76" s="34">
        <f t="shared" ca="1" si="21"/>
        <v>-322.66650000000004</v>
      </c>
    </row>
    <row r="77" spans="1:14" x14ac:dyDescent="0.3">
      <c r="A77" s="27">
        <v>76</v>
      </c>
      <c r="B77" s="39">
        <v>375.86</v>
      </c>
      <c r="C77" s="28">
        <f t="shared" si="19"/>
        <v>3.9688749999997981</v>
      </c>
      <c r="J77" s="33">
        <f t="shared" ca="1" si="22"/>
        <v>-375.86</v>
      </c>
      <c r="K77" s="34">
        <f t="shared" ca="1" si="21"/>
        <v>-320.73650000000004</v>
      </c>
    </row>
    <row r="78" spans="1:14" x14ac:dyDescent="0.3">
      <c r="A78" s="27">
        <v>77</v>
      </c>
      <c r="B78" s="39">
        <v>374.06</v>
      </c>
      <c r="C78" s="28">
        <f t="shared" si="19"/>
        <v>2.1688749999997867</v>
      </c>
      <c r="J78" s="33">
        <f t="shared" ca="1" si="22"/>
        <v>-374.06</v>
      </c>
      <c r="K78" s="34">
        <f t="shared" ca="1" si="21"/>
        <v>-318.93650000000002</v>
      </c>
    </row>
    <row r="79" spans="1:14" x14ac:dyDescent="0.3">
      <c r="A79" s="27">
        <v>78</v>
      </c>
      <c r="B79" s="39">
        <v>374.24</v>
      </c>
      <c r="C79" s="28">
        <f t="shared" si="19"/>
        <v>2.3488749999997935</v>
      </c>
      <c r="J79" s="33">
        <f t="shared" ca="1" si="22"/>
        <v>-374.24</v>
      </c>
      <c r="K79" s="34">
        <f t="shared" ca="1" si="21"/>
        <v>-319.11650000000003</v>
      </c>
    </row>
    <row r="80" spans="1:14" x14ac:dyDescent="0.3">
      <c r="A80" s="27">
        <v>79</v>
      </c>
      <c r="B80" s="39">
        <v>375.86</v>
      </c>
      <c r="C80" s="28">
        <f t="shared" si="19"/>
        <v>3.9688749999997981</v>
      </c>
      <c r="J80" s="33">
        <f t="shared" ca="1" si="22"/>
        <v>-375.86</v>
      </c>
      <c r="K80" s="34">
        <f t="shared" ca="1" si="21"/>
        <v>-320.73650000000004</v>
      </c>
    </row>
    <row r="81" spans="1:11" x14ac:dyDescent="0.3">
      <c r="A81" s="27">
        <v>80</v>
      </c>
      <c r="B81" s="39">
        <v>377.48</v>
      </c>
      <c r="C81" s="28">
        <f t="shared" si="19"/>
        <v>5.5888749999998026</v>
      </c>
      <c r="J81" s="33">
        <f t="shared" ca="1" si="22"/>
        <v>-377.48</v>
      </c>
      <c r="K81" s="34">
        <f t="shared" ca="1" si="21"/>
        <v>-322.35650000000004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105"/>
  <sheetViews>
    <sheetView workbookViewId="0">
      <selection activeCell="F1" sqref="F1"/>
    </sheetView>
  </sheetViews>
  <sheetFormatPr defaultRowHeight="14.4" x14ac:dyDescent="0.3"/>
  <sheetData>
    <row r="1" spans="1:22" ht="15" thickBot="1" x14ac:dyDescent="0.35">
      <c r="A1" t="s">
        <v>23</v>
      </c>
      <c r="B1" t="s">
        <v>24</v>
      </c>
      <c r="C1" t="s">
        <v>25</v>
      </c>
      <c r="D1" t="s">
        <v>26</v>
      </c>
      <c r="E1" t="s">
        <v>27</v>
      </c>
      <c r="F1" t="s">
        <v>28</v>
      </c>
      <c r="G1" s="3" t="str">
        <f>_xll.SARIMA($I$3,$I$6,1,,$I$4,12,1,,$I$5)</f>
        <v>SARIMA(0,1,1)(0,1,1)12</v>
      </c>
      <c r="K1" s="3" t="s">
        <v>9</v>
      </c>
      <c r="P1" s="3" t="s">
        <v>13</v>
      </c>
    </row>
    <row r="2" spans="1:22" ht="15" thickBot="1" x14ac:dyDescent="0.35">
      <c r="A2" s="2">
        <v>35916</v>
      </c>
      <c r="B2">
        <f>ACF_PACF!B2</f>
        <v>369.29</v>
      </c>
      <c r="C2" t="e">
        <f t="array" ref="C2:C81">_xll.SARIMA_FIT(B2:B81,1,I3,I6,I8,,I4,12,I10,,I5,1)</f>
        <v>#N/A</v>
      </c>
      <c r="G2" s="4"/>
      <c r="H2" s="4" t="s">
        <v>0</v>
      </c>
      <c r="I2" s="4" t="s">
        <v>1</v>
      </c>
      <c r="K2" s="4" t="s">
        <v>10</v>
      </c>
      <c r="L2" s="4" t="s">
        <v>11</v>
      </c>
      <c r="M2" s="4" t="s">
        <v>12</v>
      </c>
      <c r="P2" s="11" t="s">
        <v>16</v>
      </c>
      <c r="Q2" s="11" t="s">
        <v>17</v>
      </c>
      <c r="R2" s="11" t="s">
        <v>18</v>
      </c>
      <c r="S2" s="11" t="s">
        <v>19</v>
      </c>
      <c r="T2" s="11" t="s">
        <v>20</v>
      </c>
      <c r="U2" s="11" t="s">
        <v>21</v>
      </c>
      <c r="V2" s="11" t="s">
        <v>22</v>
      </c>
    </row>
    <row r="3" spans="1:22" x14ac:dyDescent="0.3">
      <c r="A3" s="2">
        <v>35947</v>
      </c>
      <c r="B3">
        <f>ACF_PACF!B3</f>
        <v>368.87</v>
      </c>
      <c r="C3" t="e">
        <v>#N/A</v>
      </c>
      <c r="H3" s="6" t="s">
        <v>2</v>
      </c>
      <c r="I3" s="7">
        <v>1.0447761193260554E-3</v>
      </c>
      <c r="K3" s="1">
        <f>_xll.SARIMA_GOF(SARIMA!$B$2:$B$81,1,$I$3,$I$6,1,,$I$4,12,1,,$I$5,1)</f>
        <v>-26.787484316868593</v>
      </c>
      <c r="L3" s="1">
        <f>_xll.SARIMA_GOF(SARIMA!$B$2:$B$81,1,$I$3,$I$6,1,,$I$4,12,1,,$I$5,2)</f>
        <v>61.574968633737186</v>
      </c>
      <c r="M3" s="9">
        <f>_xll.SARIMA_CHECK($I$3,$I$6,1,,$I$4,12,1,,$I$5)</f>
        <v>1</v>
      </c>
      <c r="P3" s="12">
        <f>AVERAGE(_xll.RMNA(_xll.SARIMA_FIT(SARIMA!$B$2:$B$81,1,$I$3,$I$6,1,,$I$4,12,1,,$I$5,4)))</f>
        <v>1.8407723456135037E-2</v>
      </c>
      <c r="Q3" s="12">
        <f>STDEV(_xll.RMNA(_xll.SARIMA_FIT(SARIMA!$B$2:$B$81,1,$I$3,$I$6,1,,$I$4,12,1,,$I$5,4)))</f>
        <v>0.99784441482511665</v>
      </c>
      <c r="R3" s="12">
        <f>SKEW(_xll.RMNA(_xll.SARIMA_FIT(SARIMA!$B$2:$B$81,1,$I$3,$I$6,1,,$I$4,12,1,,$I$5,4)))</f>
        <v>0.17146963857241154</v>
      </c>
      <c r="S3" s="12">
        <f>KURT(_xll.RMNA(_xll.SARIMA_FIT(SARIMA!$B$2:$B$81,1,$I$3,$I$6,1,,$I$4,12,1,,$I$5,4)))</f>
        <v>0.29749344210931739</v>
      </c>
      <c r="T3" s="12" t="b">
        <f>IF(_xll.WNTest(_xll.RMNA(_xll.SARIMA_FIT(SARIMA!$B$2:$B$81,1,$I$3,$I$6,1,,$I$4,12,1,,$I$5,4)),1) &gt;0.05, TRUE, FALSE)</f>
        <v>1</v>
      </c>
      <c r="U3" s="12" t="b">
        <f>IF(_xll.NormalityTest(_xll.RMNA(_xll.SARIMA_FIT(SARIMA!$B$2:$B$81,1,$I$3,$I$6,1,,$I$4,12,1,,$I$5,4)),1) &gt;0.05, TRUE, FALSE)</f>
        <v>1</v>
      </c>
      <c r="V3" s="12" t="b">
        <f>IF(_xll.ARCHTest(_xll.RMNA(_xll.SARIMA_FIT(SARIMA!$B$2:$B$81,1,$I$3,$I$6,1,,$I$4,12,1,,$I$5,4)),1) &lt;0.05, TRUE, FALSE)</f>
        <v>0</v>
      </c>
    </row>
    <row r="4" spans="1:22" ht="15.6" x14ac:dyDescent="0.35">
      <c r="A4" s="2">
        <v>35977</v>
      </c>
      <c r="B4">
        <f>ACF_PACF!B4</f>
        <v>367.64</v>
      </c>
      <c r="C4" t="e">
        <v>#N/A</v>
      </c>
      <c r="H4" s="6" t="s">
        <v>3</v>
      </c>
      <c r="I4" s="7">
        <v>-0.43412253877956963</v>
      </c>
      <c r="O4" s="10" t="s">
        <v>14</v>
      </c>
      <c r="P4" s="12">
        <v>0</v>
      </c>
      <c r="Q4" s="12">
        <v>1</v>
      </c>
      <c r="R4" s="12">
        <v>0</v>
      </c>
      <c r="S4" s="12">
        <v>0</v>
      </c>
    </row>
    <row r="5" spans="1:22" ht="15.6" x14ac:dyDescent="0.35">
      <c r="A5" s="2">
        <v>36008</v>
      </c>
      <c r="B5">
        <f>ACF_PACF!B5</f>
        <v>365.77</v>
      </c>
      <c r="C5" t="e">
        <v>#N/A</v>
      </c>
      <c r="H5" s="6" t="s">
        <v>4</v>
      </c>
      <c r="I5" s="7">
        <v>-0.38983159861026762</v>
      </c>
      <c r="O5" s="10" t="s">
        <v>15</v>
      </c>
      <c r="P5" s="5" t="b">
        <f>IF( _xll.TEST_MEAN(_xll.RMNA(_xll.SARIMA_FIT(SARIMA!$B$2:$B$81,1,$I$3,$I$6,1,,$I$4,12,1,,$I$5,4)),P4) &gt;0.05/2, FALSE, TRUE)</f>
        <v>0</v>
      </c>
      <c r="Q5" s="5" t="b">
        <f>IF( _xll.TEST_STDEV(_xll.RMNA(_xll.SARIMA_FIT(SARIMA!$B$2:$B$81,1,$I$3,$I$6,1,,$I$4,12,1,,$I$5,4)),Q4) &gt;0.05, FALSE, TRUE)</f>
        <v>0</v>
      </c>
      <c r="R5" s="5" t="b">
        <f>IF( _xll.TEST_SKEW(_xll.RMNA(_xll.SARIMA_FIT(SARIMA!$B$2:$B$81,1,$I$3,$I$6,1,,$I$4,12,1,,$I$5,4))) &gt;0.05/2, FALSE, TRUE)</f>
        <v>0</v>
      </c>
      <c r="S5" s="5" t="b">
        <f>IF( _xll.TEST_XKURT(_xll.RMNA(_xll.SARIMA_FIT(SARIMA!$B$2:$B$81,1,$I$3,$I$6,1,,$I$4,12,1,,$I$5,4))) &gt;0.05/2, FALSE, TRUE)</f>
        <v>0</v>
      </c>
    </row>
    <row r="6" spans="1:22" x14ac:dyDescent="0.3">
      <c r="A6" s="2">
        <v>36039</v>
      </c>
      <c r="B6">
        <f>ACF_PACF!B6</f>
        <v>363.9</v>
      </c>
      <c r="C6" t="e">
        <v>#N/A</v>
      </c>
      <c r="H6" s="6" t="s">
        <v>5</v>
      </c>
      <c r="I6" s="7">
        <v>0.35522708940405912</v>
      </c>
    </row>
    <row r="7" spans="1:22" x14ac:dyDescent="0.3">
      <c r="A7" s="2">
        <v>36069</v>
      </c>
      <c r="B7">
        <f>ACF_PACF!B7</f>
        <v>364.23</v>
      </c>
      <c r="C7" t="e">
        <v>#N/A</v>
      </c>
    </row>
    <row r="8" spans="1:22" x14ac:dyDescent="0.3">
      <c r="A8" s="2">
        <v>36100</v>
      </c>
      <c r="B8">
        <f>ACF_PACF!B8</f>
        <v>365.46</v>
      </c>
      <c r="C8" t="e">
        <v>#N/A</v>
      </c>
      <c r="H8" s="6" t="s">
        <v>6</v>
      </c>
      <c r="I8" s="8">
        <v>1</v>
      </c>
    </row>
    <row r="9" spans="1:22" x14ac:dyDescent="0.3">
      <c r="A9" s="2">
        <v>36130</v>
      </c>
      <c r="B9">
        <f>ACF_PACF!B9</f>
        <v>366.97</v>
      </c>
      <c r="C9" t="e">
        <v>#N/A</v>
      </c>
      <c r="H9" s="6" t="s">
        <v>7</v>
      </c>
      <c r="I9" s="8">
        <v>12</v>
      </c>
    </row>
    <row r="10" spans="1:22" x14ac:dyDescent="0.3">
      <c r="A10" s="2">
        <v>36161</v>
      </c>
      <c r="B10">
        <f>ACF_PACF!B10</f>
        <v>368.15</v>
      </c>
      <c r="C10" t="e">
        <v>#N/A</v>
      </c>
      <c r="H10" s="6" t="s">
        <v>8</v>
      </c>
      <c r="I10" s="8">
        <v>1</v>
      </c>
    </row>
    <row r="11" spans="1:22" x14ac:dyDescent="0.3">
      <c r="A11" s="2">
        <v>36192</v>
      </c>
      <c r="B11">
        <f>ACF_PACF!B11</f>
        <v>368.87</v>
      </c>
      <c r="C11" t="e">
        <v>#N/A</v>
      </c>
    </row>
    <row r="12" spans="1:22" x14ac:dyDescent="0.3">
      <c r="A12" s="2">
        <v>36220</v>
      </c>
      <c r="B12">
        <f>ACF_PACF!B12</f>
        <v>369.59</v>
      </c>
      <c r="C12" t="e">
        <v>#N/A</v>
      </c>
    </row>
    <row r="13" spans="1:22" x14ac:dyDescent="0.3">
      <c r="A13" s="2">
        <v>36251</v>
      </c>
      <c r="B13">
        <f>ACF_PACF!B13</f>
        <v>371.14</v>
      </c>
      <c r="C13" t="e">
        <v>#N/A</v>
      </c>
    </row>
    <row r="14" spans="1:22" x14ac:dyDescent="0.3">
      <c r="A14" s="2">
        <v>36281</v>
      </c>
      <c r="B14">
        <f>ACF_PACF!B14</f>
        <v>371</v>
      </c>
      <c r="C14" t="e">
        <v>#N/A</v>
      </c>
    </row>
    <row r="15" spans="1:22" x14ac:dyDescent="0.3">
      <c r="A15" s="2">
        <v>36312</v>
      </c>
      <c r="B15">
        <f>ACF_PACF!B15</f>
        <v>370.35</v>
      </c>
      <c r="C15">
        <v>370.54746180360559</v>
      </c>
      <c r="D15" s="14"/>
    </row>
    <row r="16" spans="1:22" x14ac:dyDescent="0.3">
      <c r="A16" s="2">
        <v>36342</v>
      </c>
      <c r="B16">
        <f>ACF_PACF!B16</f>
        <v>369.27</v>
      </c>
      <c r="C16" s="14">
        <v>369.21072904908476</v>
      </c>
    </row>
    <row r="17" spans="1:3" x14ac:dyDescent="0.3">
      <c r="A17" s="2">
        <v>36373</v>
      </c>
      <c r="B17">
        <f>ACF_PACF!B17</f>
        <v>366.94</v>
      </c>
      <c r="C17">
        <v>367.34310341464027</v>
      </c>
    </row>
    <row r="18" spans="1:3" x14ac:dyDescent="0.3">
      <c r="A18" s="2">
        <v>36404</v>
      </c>
      <c r="B18">
        <f>ACF_PACF!B18</f>
        <v>364.63</v>
      </c>
      <c r="C18">
        <v>365.21514467723796</v>
      </c>
    </row>
    <row r="19" spans="1:3" x14ac:dyDescent="0.3">
      <c r="A19" s="2">
        <v>36434</v>
      </c>
      <c r="B19">
        <f>ACF_PACF!B19</f>
        <v>365.12</v>
      </c>
      <c r="C19">
        <v>365.22578438923949</v>
      </c>
    </row>
    <row r="20" spans="1:3" x14ac:dyDescent="0.3">
      <c r="A20" s="2">
        <v>36465</v>
      </c>
      <c r="B20">
        <f>ACF_PACF!B20</f>
        <v>366.67</v>
      </c>
      <c r="C20">
        <v>366.41875050044723</v>
      </c>
    </row>
    <row r="21" spans="1:3" x14ac:dyDescent="0.3">
      <c r="A21" s="2">
        <v>36495</v>
      </c>
      <c r="B21">
        <f>ACF_PACF!B21</f>
        <v>368.01</v>
      </c>
      <c r="C21">
        <v>368.06029246796658</v>
      </c>
    </row>
    <row r="22" spans="1:3" x14ac:dyDescent="0.3">
      <c r="A22" s="2">
        <v>36526</v>
      </c>
      <c r="B22">
        <f>ACF_PACF!B22</f>
        <v>369.14</v>
      </c>
      <c r="C22">
        <v>369.20939178306503</v>
      </c>
    </row>
    <row r="23" spans="1:3" x14ac:dyDescent="0.3">
      <c r="A23" s="2">
        <v>36557</v>
      </c>
      <c r="B23">
        <f>ACF_PACF!B23</f>
        <v>369.46</v>
      </c>
      <c r="C23">
        <v>369.86378095756038</v>
      </c>
    </row>
    <row r="24" spans="1:3" x14ac:dyDescent="0.3">
      <c r="A24" s="2">
        <v>36586</v>
      </c>
      <c r="B24">
        <f>ACF_PACF!B24</f>
        <v>370.52</v>
      </c>
      <c r="C24">
        <v>370.37948321848</v>
      </c>
    </row>
    <row r="25" spans="1:3" x14ac:dyDescent="0.3">
      <c r="A25" s="2">
        <v>36617</v>
      </c>
      <c r="B25">
        <f>ACF_PACF!B25</f>
        <v>371.66</v>
      </c>
      <c r="C25">
        <v>371.98197206377341</v>
      </c>
    </row>
    <row r="26" spans="1:3" x14ac:dyDescent="0.3">
      <c r="A26" s="2">
        <v>36647</v>
      </c>
      <c r="B26">
        <f>ACF_PACF!B26</f>
        <v>371.82</v>
      </c>
      <c r="C26">
        <v>371.64090359760746</v>
      </c>
    </row>
    <row r="27" spans="1:3" x14ac:dyDescent="0.3">
      <c r="A27" s="2">
        <v>36678</v>
      </c>
      <c r="B27">
        <f>ACF_PACF!B27</f>
        <v>371.7</v>
      </c>
      <c r="C27">
        <v>371.18431517053682</v>
      </c>
    </row>
    <row r="28" spans="1:3" x14ac:dyDescent="0.3">
      <c r="A28" s="2">
        <v>36708</v>
      </c>
      <c r="B28">
        <f>ACF_PACF!B28</f>
        <v>370.12</v>
      </c>
      <c r="C28">
        <v>370.34392374246261</v>
      </c>
    </row>
    <row r="29" spans="1:3" x14ac:dyDescent="0.3">
      <c r="A29" s="2">
        <v>36739</v>
      </c>
      <c r="B29">
        <f>ACF_PACF!B29</f>
        <v>368.12</v>
      </c>
      <c r="C29">
        <v>368.04584503870751</v>
      </c>
    </row>
    <row r="30" spans="1:3" x14ac:dyDescent="0.3">
      <c r="A30" s="2">
        <v>36770</v>
      </c>
      <c r="B30">
        <f>ACF_PACF!B30</f>
        <v>366.62</v>
      </c>
      <c r="C30">
        <v>365.93466928017079</v>
      </c>
    </row>
    <row r="31" spans="1:3" x14ac:dyDescent="0.3">
      <c r="A31" s="2">
        <v>36800</v>
      </c>
      <c r="B31">
        <f>ACF_PACF!B31</f>
        <v>366.73</v>
      </c>
      <c r="C31">
        <v>366.75652137438158</v>
      </c>
    </row>
    <row r="32" spans="1:3" x14ac:dyDescent="0.3">
      <c r="A32" s="2">
        <v>36831</v>
      </c>
      <c r="B32">
        <f>ACF_PACF!B32</f>
        <v>368.29</v>
      </c>
      <c r="C32">
        <v>368.18577682875878</v>
      </c>
    </row>
    <row r="33" spans="1:3" x14ac:dyDescent="0.3">
      <c r="A33" s="2">
        <v>36861</v>
      </c>
      <c r="B33">
        <f>ACF_PACF!B33</f>
        <v>369.53</v>
      </c>
      <c r="C33">
        <v>369.64211204001259</v>
      </c>
    </row>
    <row r="34" spans="1:3" x14ac:dyDescent="0.3">
      <c r="A34" s="2">
        <v>36892</v>
      </c>
      <c r="B34">
        <f>ACF_PACF!B34</f>
        <v>370.28</v>
      </c>
      <c r="C34">
        <v>370.72305521488818</v>
      </c>
    </row>
    <row r="35" spans="1:3" x14ac:dyDescent="0.3">
      <c r="A35" s="2">
        <v>36923</v>
      </c>
      <c r="B35">
        <f>ACF_PACF!B35</f>
        <v>371.5</v>
      </c>
      <c r="C35">
        <v>370.93663796351382</v>
      </c>
    </row>
    <row r="36" spans="1:3" x14ac:dyDescent="0.3">
      <c r="A36" s="2">
        <v>36951</v>
      </c>
      <c r="B36">
        <f>ACF_PACF!B36</f>
        <v>372.12</v>
      </c>
      <c r="C36">
        <v>372.1985497507473</v>
      </c>
    </row>
    <row r="37" spans="1:3" x14ac:dyDescent="0.3">
      <c r="A37" s="2">
        <v>36982</v>
      </c>
      <c r="B37">
        <f>ACF_PACF!B37</f>
        <v>372.87</v>
      </c>
      <c r="C37">
        <v>373.42900893988281</v>
      </c>
    </row>
    <row r="38" spans="1:3" x14ac:dyDescent="0.3">
      <c r="A38" s="2">
        <v>37012</v>
      </c>
      <c r="B38">
        <f>ACF_PACF!B38</f>
        <v>374.02</v>
      </c>
      <c r="C38">
        <v>373.17439805263638</v>
      </c>
    </row>
    <row r="39" spans="1:3" x14ac:dyDescent="0.3">
      <c r="A39" s="2">
        <v>37043</v>
      </c>
      <c r="B39">
        <f>ACF_PACF!B39</f>
        <v>373.3</v>
      </c>
      <c r="C39">
        <v>373.36346784333449</v>
      </c>
    </row>
    <row r="40" spans="1:3" x14ac:dyDescent="0.3">
      <c r="A40" s="2">
        <v>37073</v>
      </c>
      <c r="B40">
        <f>ACF_PACF!B40</f>
        <v>371.62</v>
      </c>
      <c r="C40">
        <v>371.92030283355899</v>
      </c>
    </row>
    <row r="41" spans="1:3" x14ac:dyDescent="0.3">
      <c r="A41" s="2">
        <v>37104</v>
      </c>
      <c r="B41">
        <f>ACF_PACF!B41</f>
        <v>369.55</v>
      </c>
      <c r="C41">
        <v>369.68527728486595</v>
      </c>
    </row>
    <row r="42" spans="1:3" x14ac:dyDescent="0.3">
      <c r="A42" s="2">
        <v>37135</v>
      </c>
      <c r="B42">
        <f>ACF_PACF!B42</f>
        <v>367.96</v>
      </c>
      <c r="C42">
        <v>367.85789103481341</v>
      </c>
    </row>
    <row r="43" spans="1:3" x14ac:dyDescent="0.3">
      <c r="A43" s="2">
        <v>37165</v>
      </c>
      <c r="B43">
        <f>ACF_PACF!B43</f>
        <v>368.09</v>
      </c>
      <c r="C43">
        <v>368.15162561795228</v>
      </c>
    </row>
    <row r="44" spans="1:3" x14ac:dyDescent="0.3">
      <c r="A44" s="2">
        <v>37196</v>
      </c>
      <c r="B44">
        <f>ACF_PACF!B44</f>
        <v>369.68</v>
      </c>
      <c r="C44">
        <v>369.63323523759345</v>
      </c>
    </row>
    <row r="45" spans="1:3" x14ac:dyDescent="0.3">
      <c r="A45" s="2">
        <v>37226</v>
      </c>
      <c r="B45">
        <f>ACF_PACF!B45</f>
        <v>371.24</v>
      </c>
      <c r="C45">
        <v>370.96186508588556</v>
      </c>
    </row>
    <row r="46" spans="1:3" x14ac:dyDescent="0.3">
      <c r="A46" s="2">
        <v>37257</v>
      </c>
      <c r="B46">
        <f>ACF_PACF!B46</f>
        <v>372.43</v>
      </c>
      <c r="C46">
        <v>372.02295276761743</v>
      </c>
    </row>
    <row r="47" spans="1:3" x14ac:dyDescent="0.3">
      <c r="A47" s="2">
        <v>37288</v>
      </c>
      <c r="B47">
        <f>ACF_PACF!B47</f>
        <v>373.09</v>
      </c>
      <c r="C47">
        <v>373.1822477554955</v>
      </c>
    </row>
    <row r="48" spans="1:3" x14ac:dyDescent="0.3">
      <c r="A48" s="2">
        <v>37316</v>
      </c>
      <c r="B48">
        <f>ACF_PACF!B48</f>
        <v>373.52</v>
      </c>
      <c r="C48">
        <v>373.87533871950779</v>
      </c>
    </row>
    <row r="49" spans="1:3" x14ac:dyDescent="0.3">
      <c r="A49" s="2">
        <v>37347</v>
      </c>
      <c r="B49">
        <f>ACF_PACF!B49</f>
        <v>374.86</v>
      </c>
      <c r="C49">
        <v>374.62848618914086</v>
      </c>
    </row>
    <row r="50" spans="1:3" x14ac:dyDescent="0.3">
      <c r="A50" s="2">
        <v>37377</v>
      </c>
      <c r="B50">
        <f>ACF_PACF!B50</f>
        <v>375.55</v>
      </c>
      <c r="C50">
        <v>375.48941210970986</v>
      </c>
    </row>
    <row r="51" spans="1:3" x14ac:dyDescent="0.3">
      <c r="A51" s="2">
        <v>37408</v>
      </c>
      <c r="B51">
        <f>ACF_PACF!B51</f>
        <v>375.41</v>
      </c>
      <c r="C51">
        <v>374.97159935690263</v>
      </c>
    </row>
    <row r="52" spans="1:3" x14ac:dyDescent="0.3">
      <c r="A52" s="2">
        <v>37438</v>
      </c>
      <c r="B52">
        <f>ACF_PACF!B52</f>
        <v>374.02</v>
      </c>
      <c r="C52">
        <v>373.64702696384512</v>
      </c>
    </row>
    <row r="53" spans="1:3" x14ac:dyDescent="0.3">
      <c r="A53" s="2">
        <v>37469</v>
      </c>
      <c r="B53">
        <f>ACF_PACF!B53</f>
        <v>371.49</v>
      </c>
      <c r="C53">
        <v>371.79095337000615</v>
      </c>
    </row>
    <row r="54" spans="1:3" x14ac:dyDescent="0.3">
      <c r="A54" s="2">
        <v>37500</v>
      </c>
      <c r="B54">
        <f>ACF_PACF!B54</f>
        <v>370.71</v>
      </c>
      <c r="C54">
        <v>369.96928783390189</v>
      </c>
    </row>
    <row r="55" spans="1:3" x14ac:dyDescent="0.3">
      <c r="A55" s="2">
        <v>37530</v>
      </c>
      <c r="B55">
        <f>ACF_PACF!B55</f>
        <v>370.25</v>
      </c>
      <c r="C55">
        <v>370.56058458798253</v>
      </c>
    </row>
    <row r="56" spans="1:3" x14ac:dyDescent="0.3">
      <c r="A56" s="2">
        <v>37561</v>
      </c>
      <c r="B56">
        <f>ACF_PACF!B56</f>
        <v>372.08</v>
      </c>
      <c r="C56">
        <v>371.94732018389863</v>
      </c>
    </row>
    <row r="57" spans="1:3" x14ac:dyDescent="0.3">
      <c r="A57" s="2">
        <v>37591</v>
      </c>
      <c r="B57">
        <f>ACF_PACF!B57</f>
        <v>373.78</v>
      </c>
      <c r="C57">
        <v>373.48313781471546</v>
      </c>
    </row>
    <row r="58" spans="1:3" x14ac:dyDescent="0.3">
      <c r="A58" s="2">
        <v>37622</v>
      </c>
      <c r="B58">
        <f>ACF_PACF!B58</f>
        <v>374.68</v>
      </c>
      <c r="C58">
        <v>374.73068608679762</v>
      </c>
    </row>
    <row r="59" spans="1:3" x14ac:dyDescent="0.3">
      <c r="A59" s="2">
        <v>37653</v>
      </c>
      <c r="B59">
        <f>ACF_PACF!B59</f>
        <v>375.63</v>
      </c>
      <c r="C59">
        <v>375.46778179942402</v>
      </c>
    </row>
    <row r="60" spans="1:3" x14ac:dyDescent="0.3">
      <c r="A60" s="2">
        <v>37681</v>
      </c>
      <c r="B60">
        <f>ACF_PACF!B60</f>
        <v>376.11</v>
      </c>
      <c r="C60">
        <v>376.11333311103255</v>
      </c>
    </row>
    <row r="61" spans="1:3" x14ac:dyDescent="0.3">
      <c r="A61" s="2">
        <v>37712</v>
      </c>
      <c r="B61">
        <f>ACF_PACF!B61</f>
        <v>377.65</v>
      </c>
      <c r="C61">
        <v>377.30240777233325</v>
      </c>
    </row>
    <row r="62" spans="1:3" x14ac:dyDescent="0.3">
      <c r="A62" s="2">
        <v>37742</v>
      </c>
      <c r="B62">
        <f>ACF_PACF!B62</f>
        <v>378.35</v>
      </c>
      <c r="C62">
        <v>378.20588001321744</v>
      </c>
    </row>
    <row r="63" spans="1:3" x14ac:dyDescent="0.3">
      <c r="A63" s="2">
        <v>37773</v>
      </c>
      <c r="B63">
        <f>ACF_PACF!B63</f>
        <v>378.13</v>
      </c>
      <c r="C63">
        <v>377.98783962186911</v>
      </c>
    </row>
    <row r="64" spans="1:3" x14ac:dyDescent="0.3">
      <c r="A64" s="2">
        <v>37803</v>
      </c>
      <c r="B64">
        <f>ACF_PACF!B64</f>
        <v>376.62</v>
      </c>
      <c r="C64">
        <v>376.60812230751282</v>
      </c>
    </row>
    <row r="65" spans="1:3" x14ac:dyDescent="0.3">
      <c r="A65" s="2">
        <v>37834</v>
      </c>
      <c r="B65">
        <f>ACF_PACF!B65</f>
        <v>374.5</v>
      </c>
      <c r="C65">
        <v>374.26629532814616</v>
      </c>
    </row>
    <row r="66" spans="1:3" x14ac:dyDescent="0.3">
      <c r="A66" s="2">
        <v>37865</v>
      </c>
      <c r="B66">
        <f>ACF_PACF!B66</f>
        <v>372.99</v>
      </c>
      <c r="C66">
        <v>373.27996696110029</v>
      </c>
    </row>
    <row r="67" spans="1:3" x14ac:dyDescent="0.3">
      <c r="A67" s="2">
        <v>37895</v>
      </c>
      <c r="B67">
        <f>ACF_PACF!B67</f>
        <v>373</v>
      </c>
      <c r="C67">
        <v>372.90330759965815</v>
      </c>
    </row>
    <row r="68" spans="1:3" x14ac:dyDescent="0.3">
      <c r="A68" s="2">
        <v>37926</v>
      </c>
      <c r="B68">
        <f>ACF_PACF!B68</f>
        <v>374.35</v>
      </c>
      <c r="C68">
        <v>374.6847946052294</v>
      </c>
    </row>
    <row r="69" spans="1:3" x14ac:dyDescent="0.3">
      <c r="A69" s="2">
        <v>37956</v>
      </c>
      <c r="B69">
        <f>ACF_PACF!B69</f>
        <v>375.7</v>
      </c>
      <c r="C69">
        <v>376.10312666055091</v>
      </c>
    </row>
    <row r="70" spans="1:3" x14ac:dyDescent="0.3">
      <c r="A70" s="2">
        <v>37987</v>
      </c>
      <c r="B70">
        <f>ACF_PACF!B70</f>
        <v>376.79</v>
      </c>
      <c r="C70">
        <v>376.8460378166294</v>
      </c>
    </row>
    <row r="71" spans="1:3" x14ac:dyDescent="0.3">
      <c r="A71" s="2">
        <v>38018</v>
      </c>
      <c r="B71">
        <f>ACF_PACF!B71</f>
        <v>377.37</v>
      </c>
      <c r="C71">
        <v>377.69356239061034</v>
      </c>
    </row>
    <row r="72" spans="1:3" x14ac:dyDescent="0.3">
      <c r="A72" s="2">
        <v>38047</v>
      </c>
      <c r="B72">
        <f>ACF_PACF!B72</f>
        <v>378.41</v>
      </c>
      <c r="C72">
        <v>378.02027451944639</v>
      </c>
    </row>
    <row r="73" spans="1:3" x14ac:dyDescent="0.3">
      <c r="A73" s="2">
        <v>38078</v>
      </c>
      <c r="B73">
        <f>ACF_PACF!B73</f>
        <v>380.52</v>
      </c>
      <c r="C73">
        <v>379.64584465657549</v>
      </c>
    </row>
    <row r="74" spans="1:3" x14ac:dyDescent="0.3">
      <c r="A74" s="2">
        <v>38108</v>
      </c>
      <c r="B74">
        <f>ACF_PACF!B74</f>
        <v>380.63</v>
      </c>
      <c r="C74">
        <v>380.84418310969693</v>
      </c>
    </row>
    <row r="75" spans="1:3" x14ac:dyDescent="0.3">
      <c r="A75" s="2">
        <v>38139</v>
      </c>
      <c r="B75">
        <f>ACF_PACF!B75</f>
        <v>379.57</v>
      </c>
      <c r="C75">
        <v>380.47298316994772</v>
      </c>
    </row>
    <row r="76" spans="1:3" x14ac:dyDescent="0.3">
      <c r="A76" s="2">
        <v>38169</v>
      </c>
      <c r="B76">
        <f>ACF_PACF!B76</f>
        <v>377.79</v>
      </c>
      <c r="C76">
        <v>378.47247305134931</v>
      </c>
    </row>
    <row r="77" spans="1:3" x14ac:dyDescent="0.3">
      <c r="A77" s="2">
        <v>38200</v>
      </c>
      <c r="B77">
        <f>ACF_PACF!B77</f>
        <v>375.86</v>
      </c>
      <c r="C77">
        <v>375.87823051790986</v>
      </c>
    </row>
    <row r="78" spans="1:3" x14ac:dyDescent="0.3">
      <c r="A78" s="2">
        <v>38231</v>
      </c>
      <c r="B78">
        <f>ACF_PACF!B78</f>
        <v>374.06</v>
      </c>
      <c r="C78">
        <v>374.51154067987613</v>
      </c>
    </row>
    <row r="79" spans="1:3" x14ac:dyDescent="0.3">
      <c r="A79" s="2">
        <v>38261</v>
      </c>
      <c r="B79">
        <f>ACF_PACF!B79</f>
        <v>374.24</v>
      </c>
      <c r="C79">
        <v>374.18030686297152</v>
      </c>
    </row>
    <row r="80" spans="1:3" x14ac:dyDescent="0.3">
      <c r="A80" s="2">
        <v>38292</v>
      </c>
      <c r="B80">
        <f>ACF_PACF!B80</f>
        <v>375.86</v>
      </c>
      <c r="C80">
        <v>375.71200345406305</v>
      </c>
    </row>
    <row r="81" spans="1:6" x14ac:dyDescent="0.3">
      <c r="A81" s="2">
        <v>38322</v>
      </c>
      <c r="B81">
        <f>ACF_PACF!B81</f>
        <v>377.48</v>
      </c>
      <c r="C81">
        <v>377.24728621818304</v>
      </c>
    </row>
    <row r="82" spans="1:6" x14ac:dyDescent="0.3">
      <c r="C82" s="6">
        <v>1</v>
      </c>
      <c r="D82" s="13">
        <f>_xll.SARIMA_FORE(SARIMA!$B$34:$B$81,1,$I$3,$I$6,1,,$I$4,12,1,,$I$5,$C82,1,0.05)</f>
        <v>378.43336059186601</v>
      </c>
      <c r="E82" s="13">
        <f>_xll.SARIMA_FORE(SARIMA!$B$34:$B$81,1,$I$3,$I$6,1,,$I$4,12,1,,$I$5,$C82,5,0.05)</f>
        <v>379.12959289343092</v>
      </c>
      <c r="F82" s="13">
        <f>_xll.SARIMA_FORE(SARIMA!$B$34:$B$81,1,$I$3,$I$6,1,,$I$4,12,1,,$I$5,$C82,4,0.05)</f>
        <v>377.73712829030109</v>
      </c>
    </row>
    <row r="83" spans="1:6" x14ac:dyDescent="0.3">
      <c r="C83" s="6">
        <v>2</v>
      </c>
      <c r="D83" s="13">
        <f>_xll.SARIMA_FORE(SARIMA!$B$34:$B$81,1,$I$3,$I$6,1,,$I$4,12,1,,$I$5,$C83,1,0.05)</f>
        <v>379.14390020688217</v>
      </c>
      <c r="E83" s="13">
        <f>_xll.SARIMA_FORE(SARIMA!$B$34:$B$81,1,$I$3,$I$6,1,,$I$4,12,1,,$I$5,$C83,5,0.05)</f>
        <v>379.94387606016591</v>
      </c>
      <c r="F83" s="13">
        <f>_xll.SARIMA_FORE(SARIMA!$B$34:$B$81,1,$I$3,$I$6,1,,$I$4,12,1,,$I$5,$C83,4,0.05)</f>
        <v>378.34392435359842</v>
      </c>
    </row>
    <row r="84" spans="1:6" x14ac:dyDescent="0.3">
      <c r="C84" s="6">
        <v>3</v>
      </c>
      <c r="D84" s="13">
        <f>_xll.SARIMA_FORE(SARIMA!$B$34:$B$81,1,$I$3,$I$6,1,,$I$4,12,1,,$I$5,$C84,1,0.05)</f>
        <v>379.97002678903721</v>
      </c>
      <c r="E84" s="13">
        <f>_xll.SARIMA_FORE(SARIMA!$B$34:$B$81,1,$I$3,$I$6,1,,$I$4,12,1,,$I$5,$C84,5,0.05)</f>
        <v>380.86175730546677</v>
      </c>
      <c r="F84" s="13">
        <f>_xll.SARIMA_FORE(SARIMA!$B$34:$B$81,1,$I$3,$I$6,1,,$I$4,12,1,,$I$5,$C84,4,0.05)</f>
        <v>379.07829627260764</v>
      </c>
    </row>
    <row r="85" spans="1:6" x14ac:dyDescent="0.3">
      <c r="C85" s="6">
        <v>4</v>
      </c>
      <c r="D85" s="13">
        <f>_xll.SARIMA_FORE(SARIMA!$B$34:$B$81,1,$I$3,$I$6,1,,$I$4,12,1,,$I$5,$C85,1,0.05)</f>
        <v>381.80077841041538</v>
      </c>
      <c r="E85" s="13">
        <f>_xll.SARIMA_FORE(SARIMA!$B$34:$B$81,1,$I$3,$I$6,1,,$I$4,12,1,,$I$5,$C85,5,0.05)</f>
        <v>382.77566571776242</v>
      </c>
      <c r="F85" s="13">
        <f>_xll.SARIMA_FORE(SARIMA!$B$34:$B$81,1,$I$3,$I$6,1,,$I$4,12,1,,$I$5,$C85,4,0.05)</f>
        <v>380.82589110306833</v>
      </c>
    </row>
    <row r="86" spans="1:6" x14ac:dyDescent="0.3">
      <c r="C86" s="6">
        <v>5</v>
      </c>
      <c r="D86" s="13">
        <f>_xll.SARIMA_FORE(SARIMA!$B$34:$B$81,1,$I$3,$I$6,1,,$I$4,12,1,,$I$5,$C86,1,0.05)</f>
        <v>382.16338969501862</v>
      </c>
      <c r="E86" s="13">
        <f>_xll.SARIMA_FORE(SARIMA!$B$34:$B$81,1,$I$3,$I$6,1,,$I$4,12,1,,$I$5,$C86,5,0.05)</f>
        <v>383.21487778820892</v>
      </c>
      <c r="F86" s="13">
        <f>_xll.SARIMA_FORE(SARIMA!$B$34:$B$81,1,$I$3,$I$6,1,,$I$4,12,1,,$I$5,$C86,4,0.05)</f>
        <v>381.11190160182832</v>
      </c>
    </row>
    <row r="87" spans="1:6" x14ac:dyDescent="0.3">
      <c r="C87" s="6">
        <v>6</v>
      </c>
      <c r="D87" s="13">
        <f>_xll.SARIMA_FORE(SARIMA!$B$34:$B$81,1,$I$3,$I$6,1,,$I$4,12,1,,$I$5,$C87,1,0.05)</f>
        <v>381.41426042016826</v>
      </c>
      <c r="E87" s="13">
        <f>_xll.SARIMA_FORE(SARIMA!$B$34:$B$81,1,$I$3,$I$6,1,,$I$4,12,1,,$I$5,$C87,5,0.05)</f>
        <v>382.53713581762588</v>
      </c>
      <c r="F87" s="13">
        <f>_xll.SARIMA_FORE(SARIMA!$B$34:$B$81,1,$I$3,$I$6,1,,$I$4,12,1,,$I$5,$C87,4,0.05)</f>
        <v>380.29138502271064</v>
      </c>
    </row>
    <row r="88" spans="1:6" x14ac:dyDescent="0.3">
      <c r="C88" s="6">
        <v>7</v>
      </c>
      <c r="D88" s="13">
        <f>_xll.SARIMA_FORE(SARIMA!$B$34:$B$81,1,$I$3,$I$6,1,,$I$4,12,1,,$I$5,$C88,1,0.05)</f>
        <v>379.74410751209365</v>
      </c>
      <c r="E88" s="13">
        <f>_xll.SARIMA_FORE(SARIMA!$B$34:$B$81,1,$I$3,$I$6,1,,$I$4,12,1,,$I$5,$C88,5,0.05)</f>
        <v>380.93409537182595</v>
      </c>
      <c r="F88" s="13">
        <f>_xll.SARIMA_FORE(SARIMA!$B$34:$B$81,1,$I$3,$I$6,1,,$I$4,12,1,,$I$5,$C88,4,0.05)</f>
        <v>378.55411965236135</v>
      </c>
    </row>
    <row r="89" spans="1:6" x14ac:dyDescent="0.3">
      <c r="C89" s="6">
        <v>8</v>
      </c>
      <c r="D89" s="13">
        <f>_xll.SARIMA_FORE(SARIMA!$B$34:$B$81,1,$I$3,$I$6,1,,$I$4,12,1,,$I$5,$C89,1,0.05)</f>
        <v>377.70414032221782</v>
      </c>
      <c r="E89" s="13">
        <f>_xll.SARIMA_FORE(SARIMA!$B$34:$B$81,1,$I$3,$I$6,1,,$I$4,12,1,,$I$5,$C89,5,0.05)</f>
        <v>378.95765260951498</v>
      </c>
      <c r="F89" s="13">
        <f>_xll.SARIMA_FORE(SARIMA!$B$34:$B$81,1,$I$3,$I$6,1,,$I$4,12,1,,$I$5,$C89,4,0.05)</f>
        <v>376.45062803492067</v>
      </c>
    </row>
    <row r="90" spans="1:6" x14ac:dyDescent="0.3">
      <c r="C90" s="6">
        <v>9</v>
      </c>
      <c r="D90" s="13">
        <f>_xll.SARIMA_FORE(SARIMA!$B$34:$B$81,1,$I$3,$I$6,1,,$I$4,12,1,,$I$5,$C90,1,0.05)</f>
        <v>376.08623082552401</v>
      </c>
      <c r="E90" s="13">
        <f>_xll.SARIMA_FORE(SARIMA!$B$34:$B$81,1,$I$3,$I$6,1,,$I$4,12,1,,$I$5,$C90,5,0.05)</f>
        <v>377.40020000419582</v>
      </c>
      <c r="F90" s="13">
        <f>_xll.SARIMA_FORE(SARIMA!$B$34:$B$81,1,$I$3,$I$6,1,,$I$4,12,1,,$I$5,$C90,4,0.05)</f>
        <v>374.7722616468522</v>
      </c>
    </row>
    <row r="91" spans="1:6" x14ac:dyDescent="0.3">
      <c r="C91" s="6">
        <v>10</v>
      </c>
      <c r="D91" s="13">
        <f>_xll.SARIMA_FORE(SARIMA!$B$34:$B$81,1,$I$3,$I$6,1,,$I$4,12,1,,$I$5,$C91,1,0.05)</f>
        <v>376.16165934026668</v>
      </c>
      <c r="E91" s="13">
        <f>_xll.SARIMA_FORE(SARIMA!$B$34:$B$81,1,$I$3,$I$6,1,,$I$4,12,1,,$I$5,$C91,5,0.05)</f>
        <v>377.53342351482229</v>
      </c>
      <c r="F91" s="13">
        <f>_xll.SARIMA_FORE(SARIMA!$B$34:$B$81,1,$I$3,$I$6,1,,$I$4,12,1,,$I$5,$C91,4,0.05)</f>
        <v>374.78989516571107</v>
      </c>
    </row>
    <row r="92" spans="1:6" x14ac:dyDescent="0.3">
      <c r="C92" s="6">
        <v>11</v>
      </c>
      <c r="D92" s="13">
        <f>_xll.SARIMA_FORE(SARIMA!$B$34:$B$81,1,$I$3,$I$6,1,,$I$4,12,1,,$I$5,$C92,1,0.05)</f>
        <v>377.73761131407139</v>
      </c>
      <c r="E92" s="13">
        <f>_xll.SARIMA_FORE(SARIMA!$B$34:$B$81,1,$I$3,$I$6,1,,$I$4,12,1,,$I$5,$C92,5,0.05)</f>
        <v>379.16483200432526</v>
      </c>
      <c r="F92" s="13">
        <f>_xll.SARIMA_FORE(SARIMA!$B$34:$B$81,1,$I$3,$I$6,1,,$I$4,12,1,,$I$5,$C92,4,0.05)</f>
        <v>376.31039062381751</v>
      </c>
    </row>
    <row r="93" spans="1:6" x14ac:dyDescent="0.3">
      <c r="C93" s="6">
        <v>12</v>
      </c>
      <c r="D93" s="13">
        <f>_xll.SARIMA_FORE(SARIMA!$B$34:$B$81,1,$I$3,$I$6,1,,$I$4,12,1,,$I$5,$C93,1,0.05)</f>
        <v>379.29927991825355</v>
      </c>
      <c r="E93" s="13">
        <f>_xll.SARIMA_FORE(SARIMA!$B$34:$B$81,1,$I$3,$I$6,1,,$I$4,12,1,,$I$5,$C93,5,0.05)</f>
        <v>380.77988143344373</v>
      </c>
      <c r="F93" s="13">
        <f>_xll.SARIMA_FORE(SARIMA!$B$34:$B$81,1,$I$3,$I$6,1,,$I$4,12,1,,$I$5,$C93,4,0.05)</f>
        <v>377.81867840306336</v>
      </c>
    </row>
    <row r="94" spans="1:6" x14ac:dyDescent="0.3">
      <c r="C94" s="6">
        <v>13</v>
      </c>
      <c r="D94" s="13">
        <f>_xll.SARIMA_FORE(SARIMA!$B$34:$B$81,1,$I$3,$I$6,1,,$I$4,12,1,,$I$5,$C94,1,0.05)</f>
        <v>380.29012633850311</v>
      </c>
      <c r="E94" s="13">
        <f>_xll.SARIMA_FORE(SARIMA!$B$34:$B$81,1,$I$3,$I$6,1,,$I$4,12,1,,$I$5,$C94,5,0.05)</f>
        <v>381.98205308546432</v>
      </c>
      <c r="F94" s="13">
        <f>_xll.SARIMA_FORE(SARIMA!$B$34:$B$81,1,$I$3,$I$6,1,,$I$4,12,1,,$I$5,$C94,4,0.05)</f>
        <v>378.59819959154191</v>
      </c>
    </row>
    <row r="95" spans="1:6" x14ac:dyDescent="0.3">
      <c r="C95" s="6">
        <v>14</v>
      </c>
      <c r="D95" s="13">
        <f>_xll.SARIMA_FORE(SARIMA!$B$34:$B$81,1,$I$3,$I$6,1,,$I$4,12,1,,$I$5,$C95,1,0.05)</f>
        <v>381.00171072963866</v>
      </c>
      <c r="E95" s="13">
        <f>_xll.SARIMA_FORE(SARIMA!$B$34:$B$81,1,$I$3,$I$6,1,,$I$4,12,1,,$I$5,$C95,5,0.05)</f>
        <v>382.80865597026616</v>
      </c>
      <c r="F95" s="13">
        <f>_xll.SARIMA_FORE(SARIMA!$B$34:$B$81,1,$I$3,$I$6,1,,$I$4,12,1,,$I$5,$C95,4,0.05)</f>
        <v>379.19476548901116</v>
      </c>
    </row>
    <row r="96" spans="1:6" x14ac:dyDescent="0.3">
      <c r="C96" s="6">
        <v>15</v>
      </c>
      <c r="D96" s="13">
        <f>_xll.SARIMA_FORE(SARIMA!$B$34:$B$81,1,$I$3,$I$6,1,,$I$4,12,1,,$I$5,$C96,1,0.05)</f>
        <v>381.82888208791309</v>
      </c>
      <c r="E96" s="13">
        <f>_xll.SARIMA_FORE(SARIMA!$B$34:$B$81,1,$I$3,$I$6,1,,$I$4,12,1,,$I$5,$C96,5,0.05)</f>
        <v>383.74395025593475</v>
      </c>
      <c r="F96" s="13">
        <f>_xll.SARIMA_FORE(SARIMA!$B$34:$B$81,1,$I$3,$I$6,1,,$I$4,12,1,,$I$5,$C96,4,0.05)</f>
        <v>379.91381391989142</v>
      </c>
    </row>
    <row r="97" spans="3:6" x14ac:dyDescent="0.3">
      <c r="C97" s="6">
        <v>16</v>
      </c>
      <c r="D97" s="13">
        <f>_xll.SARIMA_FORE(SARIMA!$B$34:$B$81,1,$I$3,$I$6,1,,$I$4,12,1,,$I$5,$C97,1,0.05)</f>
        <v>383.66067848541059</v>
      </c>
      <c r="E97" s="13">
        <f>_xll.SARIMA_FORE(SARIMA!$B$34:$B$81,1,$I$3,$I$6,1,,$I$4,12,1,,$I$5,$C97,5,0.05)</f>
        <v>385.67808302434509</v>
      </c>
      <c r="F97" s="13">
        <f>_xll.SARIMA_FORE(SARIMA!$B$34:$B$81,1,$I$3,$I$6,1,,$I$4,12,1,,$I$5,$C97,4,0.05)</f>
        <v>381.64327394647609</v>
      </c>
    </row>
    <row r="98" spans="3:6" x14ac:dyDescent="0.3">
      <c r="C98" s="6">
        <v>17</v>
      </c>
      <c r="D98" s="13">
        <f>_xll.SARIMA_FORE(SARIMA!$B$34:$B$81,1,$I$3,$I$6,1,,$I$4,12,1,,$I$5,$C98,1,0.05)</f>
        <v>384.02433454613316</v>
      </c>
      <c r="E98" s="13">
        <f>_xll.SARIMA_FORE(SARIMA!$B$34:$B$81,1,$I$3,$I$6,1,,$I$4,12,1,,$I$5,$C98,5,0.05)</f>
        <v>386.13912911281267</v>
      </c>
      <c r="F98" s="13">
        <f>_xll.SARIMA_FORE(SARIMA!$B$34:$B$81,1,$I$3,$I$6,1,,$I$4,12,1,,$I$5,$C98,4,0.05)</f>
        <v>381.90953997945365</v>
      </c>
    </row>
    <row r="99" spans="3:6" x14ac:dyDescent="0.3">
      <c r="C99" s="6">
        <v>18</v>
      </c>
      <c r="D99" s="13">
        <f>_xll.SARIMA_FORE(SARIMA!$B$34:$B$81,1,$I$3,$I$6,1,,$I$4,12,1,,$I$5,$C99,1,0.05)</f>
        <v>383.27625004740207</v>
      </c>
      <c r="E99" s="13">
        <f>_xll.SARIMA_FORE(SARIMA!$B$34:$B$81,1,$I$3,$I$6,1,,$I$4,12,1,,$I$5,$C99,5,0.05)</f>
        <v>385.48414294444228</v>
      </c>
      <c r="F99" s="13">
        <f>_xll.SARIMA_FORE(SARIMA!$B$34:$B$81,1,$I$3,$I$6,1,,$I$4,12,1,,$I$5,$C99,4,0.05)</f>
        <v>381.06835715036186</v>
      </c>
    </row>
    <row r="100" spans="3:6" x14ac:dyDescent="0.3">
      <c r="C100" s="6">
        <v>19</v>
      </c>
      <c r="D100" s="13">
        <f>_xll.SARIMA_FORE(SARIMA!$B$34:$B$81,1,$I$3,$I$6,1,,$I$4,12,1,,$I$5,$C100,1,0.05)</f>
        <v>381.60714191544673</v>
      </c>
      <c r="E100" s="13">
        <f>_xll.SARIMA_FORE(SARIMA!$B$34:$B$81,1,$I$3,$I$6,1,,$I$4,12,1,,$I$5,$C100,5,0.05)</f>
        <v>383.90436328709211</v>
      </c>
      <c r="F100" s="13">
        <f>_xll.SARIMA_FORE(SARIMA!$B$34:$B$81,1,$I$3,$I$6,1,,$I$4,12,1,,$I$5,$C100,4,0.05)</f>
        <v>379.30992054380135</v>
      </c>
    </row>
    <row r="101" spans="3:6" x14ac:dyDescent="0.3">
      <c r="C101" s="6">
        <v>20</v>
      </c>
      <c r="D101" s="13">
        <f>_xll.SARIMA_FORE(SARIMA!$B$34:$B$81,1,$I$3,$I$6,1,,$I$4,12,1,,$I$5,$C101,1,0.05)</f>
        <v>379.56821950169029</v>
      </c>
      <c r="E101" s="13">
        <f>_xll.SARIMA_FORE(SARIMA!$B$34:$B$81,1,$I$3,$I$6,1,,$I$4,12,1,,$I$5,$C101,5,0.05)</f>
        <v>381.95142344090488</v>
      </c>
      <c r="F101" s="13">
        <f>_xll.SARIMA_FORE(SARIMA!$B$34:$B$81,1,$I$3,$I$6,1,,$I$4,12,1,,$I$5,$C101,4,0.05)</f>
        <v>377.18501556247571</v>
      </c>
    </row>
    <row r="102" spans="3:6" x14ac:dyDescent="0.3">
      <c r="C102" s="6">
        <v>21</v>
      </c>
      <c r="D102" s="13">
        <f>_xll.SARIMA_FORE(SARIMA!$B$34:$B$81,1,$I$3,$I$6,1,,$I$4,12,1,,$I$5,$C102,1,0.05)</f>
        <v>377.95135478111575</v>
      </c>
      <c r="E102" s="13">
        <f>_xll.SARIMA_FORE(SARIMA!$B$34:$B$81,1,$I$3,$I$6,1,,$I$4,12,1,,$I$5,$C102,5,0.05)</f>
        <v>380.41754536609318</v>
      </c>
      <c r="F102" s="13">
        <f>_xll.SARIMA_FORE(SARIMA!$B$34:$B$81,1,$I$3,$I$6,1,,$I$4,12,1,,$I$5,$C102,4,0.05)</f>
        <v>375.48516419613833</v>
      </c>
    </row>
    <row r="103" spans="3:6" x14ac:dyDescent="0.3">
      <c r="C103" s="6">
        <v>22</v>
      </c>
      <c r="D103" s="13">
        <f>_xll.SARIMA_FORE(SARIMA!$B$34:$B$81,1,$I$3,$I$6,1,,$I$4,12,1,,$I$5,$C103,1,0.05)</f>
        <v>378.02782807197775</v>
      </c>
      <c r="E103" s="13">
        <f>_xll.SARIMA_FORE(SARIMA!$B$34:$B$81,1,$I$3,$I$6,1,,$I$4,12,1,,$I$5,$C103,5,0.05)</f>
        <v>380.57430229862427</v>
      </c>
      <c r="F103" s="13">
        <f>_xll.SARIMA_FORE(SARIMA!$B$34:$B$81,1,$I$3,$I$6,1,,$I$4,12,1,,$I$5,$C103,4,0.05)</f>
        <v>375.48135384533123</v>
      </c>
    </row>
    <row r="104" spans="3:6" x14ac:dyDescent="0.3">
      <c r="C104" s="6">
        <v>23</v>
      </c>
      <c r="D104" s="13">
        <f>_xll.SARIMA_FORE(SARIMA!$B$34:$B$81,1,$I$3,$I$6,1,,$I$4,12,1,,$I$5,$C104,1,0.05)</f>
        <v>379.60482482190179</v>
      </c>
      <c r="E104" s="13">
        <f>_xll.SARIMA_FORE(SARIMA!$B$34:$B$81,1,$I$3,$I$6,1,,$I$4,12,1,,$I$5,$C104,5,0.05)</f>
        <v>382.22912777173792</v>
      </c>
      <c r="F104" s="13">
        <f>_xll.SARIMA_FORE(SARIMA!$B$34:$B$81,1,$I$3,$I$6,1,,$I$4,12,1,,$I$5,$C104,4,0.05)</f>
        <v>376.98052187206565</v>
      </c>
    </row>
    <row r="105" spans="3:6" x14ac:dyDescent="0.3">
      <c r="C105" s="6">
        <v>24</v>
      </c>
      <c r="D105" s="13">
        <f>_xll.SARIMA_FORE(SARIMA!$B$34:$B$81,1,$I$3,$I$6,1,,$I$4,12,1,,$I$5,$C105,1,0.05)</f>
        <v>381.16753820220322</v>
      </c>
      <c r="E105" s="13">
        <f>_xll.SARIMA_FORE(SARIMA!$B$34:$B$81,1,$I$3,$I$6,1,,$I$4,12,1,,$I$5,$C105,5,0.05)</f>
        <v>383.86742726623197</v>
      </c>
      <c r="F105" s="13">
        <f>_xll.SARIMA_FORE(SARIMA!$B$34:$B$81,1,$I$3,$I$6,1,,$I$4,12,1,,$I$5,$C105,4,0.05)</f>
        <v>378.46764913817447</v>
      </c>
    </row>
  </sheetData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68"/>
  <sheetViews>
    <sheetView workbookViewId="0">
      <selection activeCell="H1" sqref="H1"/>
    </sheetView>
  </sheetViews>
  <sheetFormatPr defaultRowHeight="14.4" x14ac:dyDescent="0.3"/>
  <cols>
    <col min="1" max="1" width="7.33203125" customWidth="1"/>
    <col min="4" max="4" width="10.88671875" customWidth="1"/>
  </cols>
  <sheetData>
    <row r="1" spans="1:36" ht="15.6" x14ac:dyDescent="0.35">
      <c r="A1" s="15" t="s">
        <v>29</v>
      </c>
      <c r="B1" s="16" t="s">
        <v>67</v>
      </c>
      <c r="C1" s="16" t="s">
        <v>68</v>
      </c>
      <c r="D1" s="17" t="s">
        <v>69</v>
      </c>
      <c r="E1" s="18" t="s">
        <v>33</v>
      </c>
      <c r="F1" s="19" t="s">
        <v>34</v>
      </c>
      <c r="G1" s="19" t="s">
        <v>35</v>
      </c>
      <c r="I1" s="17" t="s">
        <v>70</v>
      </c>
      <c r="J1" s="18" t="s">
        <v>33</v>
      </c>
      <c r="K1" s="19" t="s">
        <v>34</v>
      </c>
      <c r="L1" s="19" t="s">
        <v>35</v>
      </c>
      <c r="N1" s="26" t="s">
        <v>41</v>
      </c>
      <c r="O1" s="26" t="s">
        <v>42</v>
      </c>
      <c r="P1" s="26" t="s">
        <v>43</v>
      </c>
      <c r="Q1" s="26" t="s">
        <v>44</v>
      </c>
      <c r="R1" s="26" t="s">
        <v>45</v>
      </c>
      <c r="S1" s="26" t="s">
        <v>46</v>
      </c>
      <c r="T1" s="26" t="s">
        <v>47</v>
      </c>
      <c r="U1" s="26" t="s">
        <v>48</v>
      </c>
      <c r="V1" s="26" t="s">
        <v>49</v>
      </c>
      <c r="W1" s="26" t="s">
        <v>50</v>
      </c>
      <c r="X1" s="26" t="s">
        <v>51</v>
      </c>
      <c r="Y1" s="26" t="s">
        <v>52</v>
      </c>
      <c r="Z1" s="26" t="s">
        <v>53</v>
      </c>
      <c r="AA1" s="26" t="s">
        <v>54</v>
      </c>
      <c r="AB1" s="26" t="s">
        <v>55</v>
      </c>
      <c r="AC1" s="26" t="s">
        <v>56</v>
      </c>
      <c r="AD1" s="26" t="s">
        <v>57</v>
      </c>
      <c r="AE1" s="26" t="s">
        <v>58</v>
      </c>
      <c r="AF1" s="26" t="s">
        <v>59</v>
      </c>
      <c r="AG1" s="26" t="s">
        <v>60</v>
      </c>
      <c r="AH1" s="26" t="s">
        <v>61</v>
      </c>
      <c r="AI1" s="26" t="s">
        <v>62</v>
      </c>
      <c r="AJ1" s="26" t="s">
        <v>63</v>
      </c>
    </row>
    <row r="2" spans="1:36" x14ac:dyDescent="0.3">
      <c r="A2" s="27">
        <v>1</v>
      </c>
      <c r="B2" s="39">
        <f>SARIMA!B15-SARIMA!C15</f>
        <v>-0.19746180360556309</v>
      </c>
      <c r="C2" s="28">
        <f t="shared" ref="C2:C33" si="0">B2-AVERAGE($B$2:$B$68)</f>
        <v>-0.20400072563144131</v>
      </c>
      <c r="D2" s="29">
        <f>SUMPRODUCT($C$2:INDEX($C$2:$C$68,ROWS(C3:C$68)),$C3:C$68)/DEVSQ($C$2:$C$68)</f>
        <v>3.4401137447588183E-3</v>
      </c>
      <c r="E2" s="30">
        <f>SQRT((1/COUNT($C$2:$C$68))*(1+2*SUMSQ($D$2:D2)))</f>
        <v>0.12217089014769397</v>
      </c>
      <c r="F2" s="30">
        <f>-1.96*E2</f>
        <v>-0.23945494468948017</v>
      </c>
      <c r="G2" s="30">
        <f>1.96*E2</f>
        <v>0.23945494468948017</v>
      </c>
      <c r="I2" s="37">
        <f>P2</f>
        <v>3.4401137447588183E-3</v>
      </c>
      <c r="J2" s="38">
        <f t="shared" ref="J2:J21" si="1">1/SQRT(COUNT($C$2:$C$68))</f>
        <v>0.12216944435630522</v>
      </c>
      <c r="K2" s="39">
        <f>-1.96*J2</f>
        <v>-0.23945211093835822</v>
      </c>
      <c r="L2" s="39">
        <f>1.96*J2</f>
        <v>0.23945211093835822</v>
      </c>
      <c r="N2" s="42">
        <v>1</v>
      </c>
      <c r="O2" s="43">
        <f t="shared" ref="O2:O21" si="2">D2</f>
        <v>3.4401137447588183E-3</v>
      </c>
      <c r="P2" s="31">
        <f>Q2</f>
        <v>3.4401137447588183E-3</v>
      </c>
      <c r="Q2" s="44">
        <f>O2</f>
        <v>3.4401137447588183E-3</v>
      </c>
      <c r="R2" s="31"/>
      <c r="S2" s="31"/>
      <c r="T2" s="31"/>
      <c r="U2" s="31"/>
      <c r="V2" s="45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46"/>
      <c r="AI2" s="46"/>
      <c r="AJ2" s="46"/>
    </row>
    <row r="3" spans="1:36" x14ac:dyDescent="0.3">
      <c r="A3" s="27">
        <v>2</v>
      </c>
      <c r="B3" s="39">
        <f>SARIMA!B16-SARIMA!C16</f>
        <v>5.9270950915220055E-2</v>
      </c>
      <c r="C3" s="28">
        <f t="shared" si="0"/>
        <v>5.2732028889341843E-2</v>
      </c>
      <c r="D3" s="29">
        <f>SUMPRODUCT($C$2:INDEX($C$2:$C$68,ROWS(C4:C$68)),$C4:C$68)/DEVSQ($C$2:$C$68)</f>
        <v>-0.12483437979434127</v>
      </c>
      <c r="E3" s="30">
        <f>SQRT((1/COUNT($C$2:$C$68))*(1+2*SUMSQ($D$2:D3)))</f>
        <v>0.12406010300274294</v>
      </c>
      <c r="F3" s="30">
        <f t="shared" ref="F3:F21" si="3">-1.96*E3</f>
        <v>-0.24315780188537614</v>
      </c>
      <c r="G3" s="30">
        <f t="shared" ref="G3:G21" si="4">1.96*E3</f>
        <v>0.24315780188537614</v>
      </c>
      <c r="I3" s="37">
        <f t="shared" ref="I3:I21" si="5">P3</f>
        <v>-0.12484769167226524</v>
      </c>
      <c r="J3" s="38">
        <f t="shared" si="1"/>
        <v>0.12216944435630522</v>
      </c>
      <c r="K3" s="39">
        <f t="shared" ref="K3:K21" si="6">-1.96*J3</f>
        <v>-0.23945211093835822</v>
      </c>
      <c r="L3" s="39">
        <f t="shared" ref="L3:L21" si="7">1.96*J3</f>
        <v>0.23945211093835822</v>
      </c>
      <c r="N3" s="42">
        <v>2</v>
      </c>
      <c r="O3" s="43">
        <f t="shared" si="2"/>
        <v>-0.12483437979434127</v>
      </c>
      <c r="P3" s="31">
        <f>R3</f>
        <v>-0.12484769167226524</v>
      </c>
      <c r="Q3" s="31">
        <f>Q2-(Q2*R3)</f>
        <v>3.8696040048819889E-3</v>
      </c>
      <c r="R3" s="44">
        <f>(O3-(Q2*O2))/(1-(Q2*O2))</f>
        <v>-0.12484769167226524</v>
      </c>
      <c r="S3" s="31"/>
      <c r="T3" s="31"/>
      <c r="U3" s="31"/>
      <c r="V3" s="45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46"/>
      <c r="AI3" s="46"/>
      <c r="AJ3" s="46"/>
    </row>
    <row r="4" spans="1:36" x14ac:dyDescent="0.3">
      <c r="A4" s="27">
        <v>3</v>
      </c>
      <c r="B4" s="39">
        <f>SARIMA!B17-SARIMA!C17</f>
        <v>-0.40310341464027033</v>
      </c>
      <c r="C4" s="28">
        <f t="shared" si="0"/>
        <v>-0.40964233666614852</v>
      </c>
      <c r="D4" s="29">
        <f>SUMPRODUCT($C$2:INDEX($C$2:$C$68,ROWS(C5:C$68)),$C5:C$68)/DEVSQ($C$2:$C$68)</f>
        <v>0.10212717088559109</v>
      </c>
      <c r="E4" s="30">
        <f>SQRT((1/COUNT($C$2:$C$68))*(1+2*SUMSQ($D$2:D4)))</f>
        <v>0.12530862387617453</v>
      </c>
      <c r="F4" s="30">
        <f t="shared" si="3"/>
        <v>-0.24560490279730207</v>
      </c>
      <c r="G4" s="30">
        <f t="shared" si="4"/>
        <v>0.24560490279730207</v>
      </c>
      <c r="I4" s="37">
        <f t="shared" si="5"/>
        <v>0.10467246424766678</v>
      </c>
      <c r="J4" s="38">
        <f t="shared" si="1"/>
        <v>0.12216944435630522</v>
      </c>
      <c r="K4" s="39">
        <f t="shared" si="6"/>
        <v>-0.23945211093835822</v>
      </c>
      <c r="L4" s="39">
        <f t="shared" si="7"/>
        <v>0.23945211093835822</v>
      </c>
      <c r="N4" s="42">
        <v>3</v>
      </c>
      <c r="O4" s="43">
        <f t="shared" si="2"/>
        <v>0.10212717088559109</v>
      </c>
      <c r="P4" s="31">
        <f>S4</f>
        <v>0.10467246424766678</v>
      </c>
      <c r="Q4" s="31">
        <f>Q3-(R3*S4)</f>
        <v>1.6937719547850897E-2</v>
      </c>
      <c r="R4" s="31">
        <f>R3-(Q3*S4)</f>
        <v>-0.12525273265911888</v>
      </c>
      <c r="S4" s="44">
        <f>(O4-(Q3*O3+R3*O2))/(1-(Q3*O2+R3*O3))</f>
        <v>0.10467246424766678</v>
      </c>
      <c r="T4" s="31"/>
      <c r="U4" s="31"/>
      <c r="V4" s="45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46"/>
      <c r="AI4" s="46"/>
      <c r="AJ4" s="46"/>
    </row>
    <row r="5" spans="1:36" x14ac:dyDescent="0.3">
      <c r="A5" s="27">
        <v>4</v>
      </c>
      <c r="B5" s="39">
        <f>SARIMA!B18-SARIMA!C18</f>
        <v>-0.58514467723796315</v>
      </c>
      <c r="C5" s="28">
        <f t="shared" si="0"/>
        <v>-0.5916835992638414</v>
      </c>
      <c r="D5" s="29">
        <f>SUMPRODUCT($C$2:INDEX($C$2:$C$68,ROWS(C6:C$68)),$C6:C$68)/DEVSQ($C$2:$C$68)</f>
        <v>-0.16419083373533272</v>
      </c>
      <c r="E5" s="30">
        <f>SQRT((1/COUNT($C$2:$C$68))*(1+2*SUMSQ($D$2:D5)))</f>
        <v>0.12847951758206363</v>
      </c>
      <c r="F5" s="30">
        <f t="shared" si="3"/>
        <v>-0.25181985446084471</v>
      </c>
      <c r="G5" s="30">
        <f t="shared" si="4"/>
        <v>0.25181985446084471</v>
      </c>
      <c r="I5" s="37">
        <f t="shared" si="5"/>
        <v>-0.18684632418769501</v>
      </c>
      <c r="J5" s="38">
        <f t="shared" si="1"/>
        <v>0.12216944435630522</v>
      </c>
      <c r="K5" s="39">
        <f t="shared" si="6"/>
        <v>-0.23945211093835822</v>
      </c>
      <c r="L5" s="39">
        <f t="shared" si="7"/>
        <v>0.23945211093835822</v>
      </c>
      <c r="N5" s="42">
        <v>4</v>
      </c>
      <c r="O5" s="43">
        <f t="shared" si="2"/>
        <v>-0.16419083373533272</v>
      </c>
      <c r="P5" s="45">
        <f>T5</f>
        <v>-0.18684632418769501</v>
      </c>
      <c r="Q5" s="45">
        <f>Q4-(S4*T5)</f>
        <v>3.649538473619536E-2</v>
      </c>
      <c r="R5" s="45">
        <f>R4-(R4*T5)</f>
        <v>-0.14865574535093928</v>
      </c>
      <c r="S5" s="45">
        <f>S4-(Q4*T5)</f>
        <v>0.10783721488530479</v>
      </c>
      <c r="T5" s="44">
        <f>(O5-(Q4*O4+R4*O3+S4*O2))/(1-(Q4*O2+R4*O3+S4*O4))</f>
        <v>-0.18684632418769501</v>
      </c>
      <c r="U5" s="31"/>
      <c r="V5" s="45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46"/>
      <c r="AI5" s="46"/>
      <c r="AJ5" s="46"/>
    </row>
    <row r="6" spans="1:36" x14ac:dyDescent="0.3">
      <c r="A6" s="27">
        <v>5</v>
      </c>
      <c r="B6" s="39">
        <f>SARIMA!B19-SARIMA!C19</f>
        <v>-0.10578438923948852</v>
      </c>
      <c r="C6" s="28">
        <f t="shared" si="0"/>
        <v>-0.11232331126536674</v>
      </c>
      <c r="D6" s="29">
        <f>SUMPRODUCT($C$2:INDEX($C$2:$C$68,ROWS(C7:C$68)),$C7:C$68)/DEVSQ($C$2:$C$68)</f>
        <v>5.210432594659882E-4</v>
      </c>
      <c r="E6" s="30">
        <f>SQRT((1/COUNT($C$2:$C$68))*(1+2*SUMSQ($D$2:D6)))</f>
        <v>0.12847954912040216</v>
      </c>
      <c r="F6" s="30">
        <f t="shared" si="3"/>
        <v>-0.25181991627598821</v>
      </c>
      <c r="G6" s="30">
        <f t="shared" si="4"/>
        <v>0.25181991627598821</v>
      </c>
      <c r="I6" s="37">
        <f t="shared" si="5"/>
        <v>3.8099864805842584E-2</v>
      </c>
      <c r="J6" s="38">
        <f t="shared" si="1"/>
        <v>0.12216944435630522</v>
      </c>
      <c r="K6" s="39">
        <f t="shared" si="6"/>
        <v>-0.23945211093835822</v>
      </c>
      <c r="L6" s="39">
        <f t="shared" si="7"/>
        <v>0.23945211093835822</v>
      </c>
      <c r="N6" s="42">
        <v>5</v>
      </c>
      <c r="O6" s="43">
        <f t="shared" si="2"/>
        <v>5.210432594659882E-4</v>
      </c>
      <c r="P6" s="45">
        <f>U6</f>
        <v>3.8099864805842584E-2</v>
      </c>
      <c r="Q6" s="45">
        <f>Q5-(T5*U6)</f>
        <v>4.3614204427215177E-2</v>
      </c>
      <c r="R6" s="45">
        <f>R5-(S5*U6)</f>
        <v>-0.152764328659108</v>
      </c>
      <c r="S6" s="45">
        <f>S5-(R5*U6)</f>
        <v>0.11350097868578733</v>
      </c>
      <c r="T6" s="31">
        <f>T5-(Q5*U6)</f>
        <v>-0.18823679341218125</v>
      </c>
      <c r="U6" s="44">
        <f>(O6-(Q5*O5+R5*O4+S5*O3+T5*O2))/(1-(Q5*O2+R5*O3+S5*O4+T5*O5))</f>
        <v>3.8099864805842584E-2</v>
      </c>
      <c r="V6" s="45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46"/>
      <c r="AI6" s="46"/>
      <c r="AJ6" s="46"/>
    </row>
    <row r="7" spans="1:36" x14ac:dyDescent="0.3">
      <c r="A7" s="27">
        <v>6</v>
      </c>
      <c r="B7" s="39">
        <f>SARIMA!B20-SARIMA!C20</f>
        <v>0.25124949955278453</v>
      </c>
      <c r="C7" s="28">
        <f t="shared" si="0"/>
        <v>0.24471057752690631</v>
      </c>
      <c r="D7" s="29">
        <f>SUMPRODUCT($C$2:INDEX($C$2:$C$68,ROWS(C8:C$68)),$C8:C$68)/DEVSQ($C$2:$C$68)</f>
        <v>3.4374751922011129E-2</v>
      </c>
      <c r="E7" s="30">
        <f>SQRT((1/COUNT($C$2:$C$68))*(1+2*SUMSQ($D$2:D7)))</f>
        <v>0.12861674419587055</v>
      </c>
      <c r="F7" s="30">
        <f t="shared" si="3"/>
        <v>-0.25208881862390625</v>
      </c>
      <c r="G7" s="30">
        <f t="shared" si="4"/>
        <v>0.25208881862390625</v>
      </c>
      <c r="I7" s="37">
        <f t="shared" si="5"/>
        <v>-2.765913160047552E-2</v>
      </c>
      <c r="J7" s="38">
        <f t="shared" si="1"/>
        <v>0.12216944435630522</v>
      </c>
      <c r="K7" s="39">
        <f t="shared" si="6"/>
        <v>-0.23945211093835822</v>
      </c>
      <c r="L7" s="39">
        <f t="shared" si="7"/>
        <v>0.23945211093835822</v>
      </c>
      <c r="N7" s="42">
        <v>6</v>
      </c>
      <c r="O7" s="43">
        <f t="shared" si="2"/>
        <v>3.4374751922011129E-2</v>
      </c>
      <c r="P7" s="45">
        <f>V7</f>
        <v>-2.765913160047552E-2</v>
      </c>
      <c r="Q7" s="45">
        <f>Q6-(U6*V7)</f>
        <v>4.4668013601840299E-2</v>
      </c>
      <c r="R7" s="45">
        <f>R6-(T6*V7)</f>
        <v>-0.15797079490014704</v>
      </c>
      <c r="S7" s="45">
        <f>S6-(S6*V7)</f>
        <v>0.11664031719204029</v>
      </c>
      <c r="T7" s="31">
        <f>T6-(R6*V7)</f>
        <v>-0.1924621220824218</v>
      </c>
      <c r="U7" s="31">
        <f>U6-(Q6*V7)</f>
        <v>3.9306195825744968E-2</v>
      </c>
      <c r="V7" s="48">
        <f>(O7-(Q6*O6+R6*O5+S6*O4+T6*O3+U6*O2))/(1-(Q6*O2+R6*O3+S6*O4+T6*O5+U6*O6))</f>
        <v>-2.765913160047552E-2</v>
      </c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46"/>
      <c r="AI7" s="46"/>
      <c r="AJ7" s="46"/>
    </row>
    <row r="8" spans="1:36" x14ac:dyDescent="0.3">
      <c r="A8" s="27">
        <v>7</v>
      </c>
      <c r="B8" s="39">
        <f>SARIMA!B21-SARIMA!C21</f>
        <v>-5.0292467966585264E-2</v>
      </c>
      <c r="C8" s="28">
        <f t="shared" si="0"/>
        <v>-5.6831389992463476E-2</v>
      </c>
      <c r="D8" s="29">
        <f>SUMPRODUCT($C$2:INDEX($C$2:$C$68,ROWS(C9:C$68)),$C9:C$68)/DEVSQ($C$2:$C$68)</f>
        <v>3.75745097693354E-2</v>
      </c>
      <c r="E8" s="30">
        <f>SQRT((1/COUNT($C$2:$C$68))*(1+2*SUMSQ($D$2:D8)))</f>
        <v>0.12878047786106903</v>
      </c>
      <c r="F8" s="30">
        <f t="shared" si="3"/>
        <v>-0.25240973660769528</v>
      </c>
      <c r="G8" s="30">
        <f t="shared" si="4"/>
        <v>0.25240973660769528</v>
      </c>
      <c r="I8" s="37">
        <f t="shared" si="5"/>
        <v>8.5254861612260105E-2</v>
      </c>
      <c r="J8" s="38">
        <f t="shared" si="1"/>
        <v>0.12216944435630522</v>
      </c>
      <c r="K8" s="39">
        <f t="shared" si="6"/>
        <v>-0.23945211093835822</v>
      </c>
      <c r="L8" s="39">
        <f t="shared" si="7"/>
        <v>0.23945211093835822</v>
      </c>
      <c r="N8" s="42">
        <v>7</v>
      </c>
      <c r="O8" s="43">
        <f t="shared" si="2"/>
        <v>3.75745097693354E-2</v>
      </c>
      <c r="P8" s="45">
        <f>W8</f>
        <v>8.5254861612260105E-2</v>
      </c>
      <c r="Q8" s="45">
        <f>Q7-(V7*W8)</f>
        <v>4.7026089038754132E-2</v>
      </c>
      <c r="R8" s="45">
        <f>R7-(U7*W8)</f>
        <v>-0.16132183918577533</v>
      </c>
      <c r="S8" s="45">
        <f>S7-(T7*W8)</f>
        <v>0.13304864877577907</v>
      </c>
      <c r="T8" s="31">
        <f>T7-(S7*W8)</f>
        <v>-0.20240627618303933</v>
      </c>
      <c r="U8" s="31">
        <f>U7-(R7*W8)</f>
        <v>5.2773974083735728E-2</v>
      </c>
      <c r="V8" s="31">
        <f>V7-(Q7*W8)</f>
        <v>-3.146729691859497E-2</v>
      </c>
      <c r="W8" s="44">
        <f>(O8-(Q7*O7+R7*O6+S7*O5+T7*O4+U7*O3+V7*O2))/(1-(Q7*O2+R7*O3+S7*O4+T7*O5+U7*O6+V7*O7))</f>
        <v>8.5254861612260105E-2</v>
      </c>
      <c r="X8" s="31"/>
      <c r="Y8" s="31"/>
      <c r="Z8" s="31"/>
      <c r="AA8" s="31"/>
      <c r="AB8" s="31"/>
      <c r="AC8" s="31"/>
      <c r="AD8" s="31"/>
      <c r="AE8" s="31"/>
      <c r="AF8" s="31"/>
      <c r="AG8" s="31"/>
      <c r="AH8" s="46"/>
      <c r="AI8" s="46"/>
      <c r="AJ8" s="46"/>
    </row>
    <row r="9" spans="1:36" x14ac:dyDescent="0.3">
      <c r="A9" s="27">
        <v>8</v>
      </c>
      <c r="B9" s="39">
        <f>SARIMA!B22-SARIMA!C22</f>
        <v>-6.9391783065043455E-2</v>
      </c>
      <c r="C9" s="28">
        <f t="shared" si="0"/>
        <v>-7.5930705090921674E-2</v>
      </c>
      <c r="D9" s="29">
        <f>SUMPRODUCT($C$2:INDEX($C$2:$C$68,ROWS(C10:C$68)),$C10:C$68)/DEVSQ($C$2:$C$68)</f>
        <v>0.21864356286394926</v>
      </c>
      <c r="E9" s="30">
        <f>SQRT((1/COUNT($C$2:$C$68))*(1+2*SUMSQ($D$2:D9)))</f>
        <v>0.13420665642888974</v>
      </c>
      <c r="F9" s="30">
        <f t="shared" si="3"/>
        <v>-0.26304504660062389</v>
      </c>
      <c r="G9" s="30">
        <f t="shared" si="4"/>
        <v>0.26304504660062389</v>
      </c>
      <c r="I9" s="37">
        <f t="shared" si="5"/>
        <v>0.1928683736578834</v>
      </c>
      <c r="J9" s="38">
        <f t="shared" si="1"/>
        <v>0.12216944435630522</v>
      </c>
      <c r="K9" s="39">
        <f t="shared" si="6"/>
        <v>-0.23945211093835822</v>
      </c>
      <c r="L9" s="39">
        <f t="shared" si="7"/>
        <v>0.23945211093835822</v>
      </c>
      <c r="N9" s="42">
        <v>8</v>
      </c>
      <c r="O9" s="43">
        <f t="shared" si="2"/>
        <v>0.21864356286394926</v>
      </c>
      <c r="P9" s="45">
        <f>X9</f>
        <v>0.1928683736578834</v>
      </c>
      <c r="Q9" s="45">
        <f>Q8-(W8*X9)</f>
        <v>3.058312253316961E-2</v>
      </c>
      <c r="R9" s="45">
        <f>R8-(V8*X9)</f>
        <v>-0.15525279280567619</v>
      </c>
      <c r="S9" s="45">
        <f>S8-(U8*X9)</f>
        <v>0.12287021822278568</v>
      </c>
      <c r="T9" s="31">
        <f>T8-(T8*X9)</f>
        <v>-0.16336850687746815</v>
      </c>
      <c r="U9" s="31">
        <f>U8-(S8*X9)</f>
        <v>2.7113097576972278E-2</v>
      </c>
      <c r="V9" s="31">
        <f>V8-(R8*X9)</f>
        <v>-3.5341615933587658E-4</v>
      </c>
      <c r="W9" s="31">
        <f>W8-(Q8*X9)</f>
        <v>7.618501629986478E-2</v>
      </c>
      <c r="X9" s="44">
        <f>(O9-(Q8*O8+R8*O7+S8*O6+T8*O5+U8*O4+V8*O3+W8*O2))/(1-(Q8*O2+R8*O3+S8*O4+T8*O5+U8*O6+V8*O7+W8*O8))</f>
        <v>0.1928683736578834</v>
      </c>
      <c r="Y9" s="31"/>
      <c r="Z9" s="31"/>
      <c r="AA9" s="31"/>
      <c r="AB9" s="31"/>
      <c r="AC9" s="31"/>
      <c r="AD9" s="31"/>
      <c r="AE9" s="31"/>
      <c r="AF9" s="31"/>
      <c r="AG9" s="31"/>
      <c r="AH9" s="46"/>
      <c r="AI9" s="46"/>
      <c r="AJ9" s="46"/>
    </row>
    <row r="10" spans="1:36" x14ac:dyDescent="0.3">
      <c r="A10" s="27">
        <v>9</v>
      </c>
      <c r="B10" s="39">
        <f>SARIMA!B23-SARIMA!C23</f>
        <v>-0.40378095756040011</v>
      </c>
      <c r="C10" s="28">
        <f t="shared" si="0"/>
        <v>-0.4103198795862783</v>
      </c>
      <c r="D10" s="29">
        <f>SUMPRODUCT($C$2:INDEX($C$2:$C$68,ROWS(C11:C$68)),$C11:C$68)/DEVSQ($C$2:$C$68)</f>
        <v>-8.8167067389188329E-3</v>
      </c>
      <c r="E10" s="30">
        <f>SQRT((1/COUNT($C$2:$C$68))*(1+2*SUMSQ($D$2:D10)))</f>
        <v>0.13421530112925531</v>
      </c>
      <c r="F10" s="30">
        <f t="shared" si="3"/>
        <v>-0.26306199021334042</v>
      </c>
      <c r="G10" s="30">
        <f t="shared" si="4"/>
        <v>0.26306199021334042</v>
      </c>
      <c r="I10" s="37">
        <f t="shared" si="5"/>
        <v>-5.2854979545189555E-4</v>
      </c>
      <c r="J10" s="38">
        <f t="shared" si="1"/>
        <v>0.12216944435630522</v>
      </c>
      <c r="K10" s="39">
        <f t="shared" si="6"/>
        <v>-0.23945211093835822</v>
      </c>
      <c r="L10" s="39">
        <f t="shared" si="7"/>
        <v>0.23945211093835822</v>
      </c>
      <c r="N10" s="42">
        <v>9</v>
      </c>
      <c r="O10" s="43">
        <f t="shared" si="2"/>
        <v>-8.8167067389188329E-3</v>
      </c>
      <c r="P10" s="45">
        <f>Y10</f>
        <v>-5.2854979545189555E-4</v>
      </c>
      <c r="Q10" s="45">
        <f>Q9-(X9*Y10)</f>
        <v>3.0685063072615624E-2</v>
      </c>
      <c r="R10" s="45">
        <f>R9-(W9*Y10)</f>
        <v>-0.1552125252308944</v>
      </c>
      <c r="S10" s="45">
        <f>S9-(V9*Y10)</f>
        <v>0.12287003142474695</v>
      </c>
      <c r="T10" s="31">
        <f>T9-(U9*Y10)</f>
        <v>-0.16335417625528978</v>
      </c>
      <c r="U10" s="31">
        <f>U9-(T9*Y10)</f>
        <v>2.7026749186078912E-2</v>
      </c>
      <c r="V10" s="31">
        <f>V9-(S9*Y10)</f>
        <v>-2.8847313062709343E-4</v>
      </c>
      <c r="W10" s="31">
        <f>W9-(R9*Y10)</f>
        <v>7.6102957467983998E-2</v>
      </c>
      <c r="X10" s="31">
        <f>X9-(Q9*Y10)</f>
        <v>0.19288453836104258</v>
      </c>
      <c r="Y10" s="44">
        <f>(O10-(Q9*O9+R9*O8+S9*O7+T9*O6+U9*O5+V9*O4+W9*O3+X9*O2))/(1-(Q9*O2+R9*O3+S9*O4+T9*O5+U9*O6+V9*O7+W9*O8+X9*O9))</f>
        <v>-5.2854979545189555E-4</v>
      </c>
      <c r="Z10" s="31"/>
      <c r="AA10" s="31"/>
      <c r="AB10" s="31"/>
      <c r="AC10" s="31"/>
      <c r="AD10" s="31"/>
      <c r="AE10" s="31"/>
      <c r="AF10" s="31"/>
      <c r="AG10" s="31"/>
      <c r="AH10" s="46"/>
      <c r="AI10" s="46"/>
      <c r="AJ10" s="46"/>
    </row>
    <row r="11" spans="1:36" x14ac:dyDescent="0.3">
      <c r="A11" s="27">
        <v>10</v>
      </c>
      <c r="B11" s="39">
        <f>SARIMA!B24-SARIMA!C24</f>
        <v>0.14051678151997749</v>
      </c>
      <c r="C11" s="28">
        <f t="shared" si="0"/>
        <v>0.13397785949409927</v>
      </c>
      <c r="D11" s="29">
        <f>SUMPRODUCT($C$2:INDEX($C$2:$C$68,ROWS(C12:C$68)),$C12:C$68)/DEVSQ($C$2:$C$68)</f>
        <v>-9.0948204431455959E-2</v>
      </c>
      <c r="E11" s="30">
        <f>SQRT((1/COUNT($C$2:$C$68))*(1+2*SUMSQ($D$2:D11)))</f>
        <v>0.1351320086816232</v>
      </c>
      <c r="F11" s="30">
        <f t="shared" si="3"/>
        <v>-0.26485873701598145</v>
      </c>
      <c r="G11" s="30">
        <f t="shared" si="4"/>
        <v>0.26485873701598145</v>
      </c>
      <c r="I11" s="37">
        <f t="shared" si="5"/>
        <v>-4.4075232314987216E-2</v>
      </c>
      <c r="J11" s="38">
        <f t="shared" si="1"/>
        <v>0.12216944435630522</v>
      </c>
      <c r="K11" s="39">
        <f t="shared" si="6"/>
        <v>-0.23945211093835822</v>
      </c>
      <c r="L11" s="39">
        <f t="shared" si="7"/>
        <v>0.23945211093835822</v>
      </c>
      <c r="N11" s="42">
        <v>10</v>
      </c>
      <c r="O11" s="43">
        <f t="shared" si="2"/>
        <v>-9.0948204431455959E-2</v>
      </c>
      <c r="P11" s="45">
        <f>Z11</f>
        <v>-4.4075232314987216E-2</v>
      </c>
      <c r="Q11" s="45">
        <f>Q10-(Y10*Z11)</f>
        <v>3.0661767117591044E-2</v>
      </c>
      <c r="R11" s="45">
        <f>R10-(X10*Z11)</f>
        <v>-0.14671109439266239</v>
      </c>
      <c r="S11" s="45">
        <f>S10-(W10*Z11)</f>
        <v>0.12622428695500593</v>
      </c>
      <c r="T11" s="31">
        <f>T10-(V10*Z11)</f>
        <v>-0.16336689077553879</v>
      </c>
      <c r="U11" s="31">
        <f>U10-(U10*Z11)</f>
        <v>2.8217959435174231E-2</v>
      </c>
      <c r="V11" s="31">
        <f>V10-(T10*Z11)</f>
        <v>-7.4883463987023583E-3</v>
      </c>
      <c r="W11" s="31">
        <f>W10-(S10*Z11)</f>
        <v>8.1518482647579493E-2</v>
      </c>
      <c r="X11" s="31">
        <f>X10-(R10*Z11)</f>
        <v>0.1860435102532951</v>
      </c>
      <c r="Y11" s="31">
        <f>Y10-(Q10*Z11)</f>
        <v>8.2390148807367353E-4</v>
      </c>
      <c r="Z11" s="44">
        <f>(O11-(Q10*O10+R10*O9+S10*O8+T10*O7+U10*O6+V10*O5+W10*O4+X10*O3+Y10*O2))/(1-(Q10*O2+R10*O3+S10*O4+T10*O5+U10*O6+V10*O7+W10*O8+X10*O9+Y10*O10))</f>
        <v>-4.4075232314987216E-2</v>
      </c>
      <c r="AA11" s="31"/>
      <c r="AB11" s="31"/>
      <c r="AC11" s="31"/>
      <c r="AD11" s="31"/>
      <c r="AE11" s="31"/>
      <c r="AF11" s="31"/>
      <c r="AG11" s="31"/>
      <c r="AH11" s="46"/>
      <c r="AI11" s="46"/>
      <c r="AJ11" s="46"/>
    </row>
    <row r="12" spans="1:36" x14ac:dyDescent="0.3">
      <c r="A12" s="27">
        <v>11</v>
      </c>
      <c r="B12" s="39">
        <f>SARIMA!B25-SARIMA!C25</f>
        <v>-0.32197206377338716</v>
      </c>
      <c r="C12" s="28">
        <f t="shared" si="0"/>
        <v>-0.32851098579926535</v>
      </c>
      <c r="D12" s="29">
        <f>SUMPRODUCT($C$2:INDEX($C$2:$C$68,ROWS(C13:C$68)),$C13:C$68)/DEVSQ($C$2:$C$68)</f>
        <v>0.12502467450407026</v>
      </c>
      <c r="E12" s="30">
        <f>SQRT((1/COUNT($C$2:$C$68))*(1+2*SUMSQ($D$2:D12)))</f>
        <v>0.13684758615716316</v>
      </c>
      <c r="F12" s="30">
        <f t="shared" si="3"/>
        <v>-0.26822126886803982</v>
      </c>
      <c r="G12" s="30">
        <f t="shared" si="4"/>
        <v>0.26822126886803982</v>
      </c>
      <c r="I12" s="37">
        <f t="shared" si="5"/>
        <v>0.11039428087832408</v>
      </c>
      <c r="J12" s="38">
        <f t="shared" si="1"/>
        <v>0.12216944435630522</v>
      </c>
      <c r="K12" s="39">
        <f t="shared" si="6"/>
        <v>-0.23945211093835822</v>
      </c>
      <c r="L12" s="39">
        <f t="shared" si="7"/>
        <v>0.23945211093835822</v>
      </c>
      <c r="N12" s="42">
        <v>11</v>
      </c>
      <c r="O12" s="43">
        <f t="shared" si="2"/>
        <v>0.12502467450407026</v>
      </c>
      <c r="P12" s="45">
        <f>AA12</f>
        <v>0.11039428087832408</v>
      </c>
      <c r="Q12" s="45">
        <f>Q11-(Z11*AA12)</f>
        <v>3.5527420693549125E-2</v>
      </c>
      <c r="R12" s="45">
        <f>R11-(Y11*AA12)</f>
        <v>-0.14680204840495287</v>
      </c>
      <c r="S12" s="45">
        <f>S11-(X11*AA12)</f>
        <v>0.1056861474285143</v>
      </c>
      <c r="T12" s="31">
        <f>T11-(W11*AA12)</f>
        <v>-0.17236606504571048</v>
      </c>
      <c r="U12" s="31">
        <f>U11-(V11*AA12)</f>
        <v>2.9044630050826765E-2</v>
      </c>
      <c r="V12" s="31">
        <f>V11-(U11*AA12)</f>
        <v>-1.0603447738402137E-2</v>
      </c>
      <c r="W12" s="31">
        <f>W11-(T11*AA12)</f>
        <v>9.9553253074072812E-2</v>
      </c>
      <c r="X12" s="31">
        <f>X11-(S11*AA12)</f>
        <v>0.17210907086551799</v>
      </c>
      <c r="Y12" s="31">
        <f>Y11-(R11*AA12)</f>
        <v>1.7019967250423561E-2</v>
      </c>
      <c r="Z12" s="31">
        <f>Z11-(Q11*AA12)</f>
        <v>-4.7460116046392324E-2</v>
      </c>
      <c r="AA12" s="44">
        <f>(O12-(Q11*O11+R11*O10+S11*O9+T11*O8+U11*O7+V11*O6+W11*O5+X11*O4+Y11*O3+Z11*O2))/(1-(Q11*O2+R11*O3+S11*O4+T11*O5+U11*O6+V11*O7+W11*O8+X11*O9+Y11*O10+Z11*O11))</f>
        <v>0.11039428087832408</v>
      </c>
      <c r="AB12" s="31"/>
      <c r="AC12" s="31"/>
      <c r="AD12" s="31"/>
      <c r="AE12" s="31"/>
      <c r="AF12" s="31"/>
      <c r="AG12" s="31"/>
      <c r="AH12" s="46"/>
      <c r="AI12" s="46"/>
      <c r="AJ12" s="46"/>
    </row>
    <row r="13" spans="1:36" x14ac:dyDescent="0.3">
      <c r="A13" s="27">
        <v>12</v>
      </c>
      <c r="B13" s="39">
        <f>SARIMA!B26-SARIMA!C26</f>
        <v>0.17909640239253122</v>
      </c>
      <c r="C13" s="28">
        <f t="shared" si="0"/>
        <v>0.172557480366653</v>
      </c>
      <c r="D13" s="29">
        <f>SUMPRODUCT($C$2:INDEX($C$2:$C$68,ROWS(C14:C$68)),$C14:C$68)/DEVSQ($C$2:$C$68)</f>
        <v>-9.87103679344742E-2</v>
      </c>
      <c r="E13" s="30">
        <f>SQRT((1/COUNT($C$2:$C$68))*(1+2*SUMSQ($D$2:D13)))</f>
        <v>0.13790619873707502</v>
      </c>
      <c r="F13" s="30">
        <f t="shared" si="3"/>
        <v>-0.27029614952466702</v>
      </c>
      <c r="G13" s="30">
        <f t="shared" si="4"/>
        <v>0.27029614952466702</v>
      </c>
      <c r="I13" s="37">
        <f t="shared" si="5"/>
        <v>-6.615709814970204E-2</v>
      </c>
      <c r="J13" s="38">
        <f t="shared" si="1"/>
        <v>0.12216944435630522</v>
      </c>
      <c r="K13" s="39">
        <f t="shared" si="6"/>
        <v>-0.23945211093835822</v>
      </c>
      <c r="L13" s="39">
        <f t="shared" si="7"/>
        <v>0.23945211093835822</v>
      </c>
      <c r="N13" s="42">
        <v>12</v>
      </c>
      <c r="O13" s="43">
        <f t="shared" si="2"/>
        <v>-9.87103679344742E-2</v>
      </c>
      <c r="P13" s="45">
        <f>AB13</f>
        <v>-6.615709814970204E-2</v>
      </c>
      <c r="Q13" s="45">
        <f>Q12-(AA12*AB13)</f>
        <v>4.283078596878219E-2</v>
      </c>
      <c r="R13" s="45">
        <f>R12-(Z12*AB13)</f>
        <v>-0.1499418719604303</v>
      </c>
      <c r="S13" s="45">
        <f>S12-(Y12*AB13)</f>
        <v>0.10681213907240529</v>
      </c>
      <c r="T13" s="31">
        <f>T12-(X12*AB13)</f>
        <v>-0.16097982835200639</v>
      </c>
      <c r="U13" s="31">
        <f>U12-(W12*AB13)</f>
        <v>3.5630784385570324E-2</v>
      </c>
      <c r="V13" s="31">
        <f>V12-(V12*AB13)</f>
        <v>-1.1304941071156843E-2</v>
      </c>
      <c r="W13" s="31">
        <f>W12-(U12*AB13)</f>
        <v>0.10147476151506714</v>
      </c>
      <c r="X13" s="31">
        <f>X12-(T12*AB13)</f>
        <v>0.160705832182611</v>
      </c>
      <c r="Y13" s="31">
        <f>Y12-(S12*AB13)</f>
        <v>2.401185607891566E-2</v>
      </c>
      <c r="Z13" s="31">
        <f>Z12-(R12*AB13)</f>
        <v>-5.7172113571296104E-2</v>
      </c>
      <c r="AA13" s="31">
        <f>AA12-(Q12*AB13)</f>
        <v>0.11274467193615297</v>
      </c>
      <c r="AB13" s="44">
        <f>(O13-(Q12*O12+R12*O11+S12*O10+T12*O9+U12*O8+V12*O7+W12*O6+X12*O5+Y12*O4+Z12*O3+AA12*O2))/(1-(Q12*O2+R12*O3+S12*O4+T12*O5+U12*O6+V12*O7+W12*O8+X12*O9+Y12*O10+Z12*O11+AA12*O12))</f>
        <v>-6.615709814970204E-2</v>
      </c>
      <c r="AC13" s="31"/>
      <c r="AD13" s="31"/>
      <c r="AE13" s="31"/>
      <c r="AF13" s="31"/>
      <c r="AG13" s="31"/>
      <c r="AH13" s="46"/>
      <c r="AI13" s="46"/>
      <c r="AJ13" s="46"/>
    </row>
    <row r="14" spans="1:36" x14ac:dyDescent="0.3">
      <c r="A14" s="27">
        <v>13</v>
      </c>
      <c r="B14" s="39">
        <f>SARIMA!B27-SARIMA!C27</f>
        <v>0.51568482946316863</v>
      </c>
      <c r="C14" s="28">
        <f t="shared" si="0"/>
        <v>0.50914590743729038</v>
      </c>
      <c r="D14" s="29">
        <f>SUMPRODUCT($C$2:INDEX($C$2:$C$68,ROWS(C15:C$68)),$C15:C$68)/DEVSQ($C$2:$C$68)</f>
        <v>-0.10254084960923154</v>
      </c>
      <c r="E14" s="30">
        <f>SQRT((1/COUNT($C$2:$C$68))*(1+2*SUMSQ($D$2:D14)))</f>
        <v>0.13903952343893819</v>
      </c>
      <c r="F14" s="30">
        <f t="shared" si="3"/>
        <v>-0.27251746594031884</v>
      </c>
      <c r="G14" s="30">
        <f t="shared" si="4"/>
        <v>0.27251746594031884</v>
      </c>
      <c r="I14" s="37">
        <f t="shared" si="5"/>
        <v>-6.6081961204992212E-2</v>
      </c>
      <c r="J14" s="38">
        <f t="shared" si="1"/>
        <v>0.12216944435630522</v>
      </c>
      <c r="K14" s="39">
        <f t="shared" si="6"/>
        <v>-0.23945211093835822</v>
      </c>
      <c r="L14" s="39">
        <f t="shared" si="7"/>
        <v>0.23945211093835822</v>
      </c>
      <c r="N14" s="42">
        <v>13</v>
      </c>
      <c r="O14" s="43">
        <f t="shared" si="2"/>
        <v>-0.10254084960923154</v>
      </c>
      <c r="P14" s="45">
        <f>AC14</f>
        <v>-6.6081961204992212E-2</v>
      </c>
      <c r="Q14" s="45">
        <f>Q13-(AB13*AC14)</f>
        <v>3.8458995175418717E-2</v>
      </c>
      <c r="R14" s="45">
        <f>R13-(AA13*AC14)</f>
        <v>-0.14249148292347585</v>
      </c>
      <c r="S14" s="45">
        <f>S13-(Z13*AC14)</f>
        <v>0.10303409368137949</v>
      </c>
      <c r="T14" s="31">
        <f>T13-(Y13*AC14)</f>
        <v>-0.15939307781013962</v>
      </c>
      <c r="U14" s="31">
        <f>U13-(X13*AC14)</f>
        <v>4.6250540953277616E-2</v>
      </c>
      <c r="V14" s="31">
        <f>V13-(W13*AC14)</f>
        <v>-4.59928981743234E-3</v>
      </c>
      <c r="W14" s="31">
        <f>W13-(V13*AC14)</f>
        <v>0.10072770883777823</v>
      </c>
      <c r="X14" s="31">
        <f>X13-(U13*AC14)</f>
        <v>0.16306038429408171</v>
      </c>
      <c r="Y14" s="31">
        <f>Y13-(T13*AC14)</f>
        <v>1.3373993306972068E-2</v>
      </c>
      <c r="Z14" s="31">
        <f>Z13-(S13*AC14)</f>
        <v>-5.0113757940891186E-2</v>
      </c>
      <c r="AA14" s="31">
        <f>AA13-(R13*AC14)</f>
        <v>0.10283621897025991</v>
      </c>
      <c r="AB14" s="31">
        <f>AB13-(Q13*AC14)</f>
        <v>-6.3326755812933649E-2</v>
      </c>
      <c r="AC14" s="44">
        <f>(O14-(Q13*O13+R13*O12+S13*O11+T13*O10+U13*O9+V13*O8+W13*O7+X13*O6+Y13*O5+Z13*O4+AA13*O3+AB13*O2))/(1-(Q13*O2+R13*O3+S13*O4+T13*O5+U13*O6+V13*O7+W13*O8+X13*O9+Y13*O10+Z13*O11+AA13*O12+AB13*O13))</f>
        <v>-6.6081961204992212E-2</v>
      </c>
      <c r="AD14" s="31"/>
      <c r="AE14" s="31"/>
      <c r="AF14" s="31"/>
      <c r="AG14" s="31"/>
      <c r="AH14" s="46"/>
      <c r="AI14" s="46"/>
      <c r="AJ14" s="46"/>
    </row>
    <row r="15" spans="1:36" x14ac:dyDescent="0.3">
      <c r="A15" s="27">
        <v>14</v>
      </c>
      <c r="B15" s="39">
        <f>SARIMA!B28-SARIMA!C28</f>
        <v>-0.2239237424626026</v>
      </c>
      <c r="C15" s="28">
        <f t="shared" si="0"/>
        <v>-0.23046266448848082</v>
      </c>
      <c r="D15" s="29">
        <f>SUMPRODUCT($C$2:INDEX($C$2:$C$68,ROWS(C16:C$68)),$C16:C$68)/DEVSQ($C$2:$C$68)</f>
        <v>-3.177373758566511E-2</v>
      </c>
      <c r="E15" s="30">
        <f>SQRT((1/COUNT($C$2:$C$68))*(1+2*SUMSQ($D$2:D15)))</f>
        <v>0.1391478548450627</v>
      </c>
      <c r="F15" s="30">
        <f t="shared" si="3"/>
        <v>-0.27272979549632287</v>
      </c>
      <c r="G15" s="30">
        <f t="shared" si="4"/>
        <v>0.27272979549632287</v>
      </c>
      <c r="I15" s="37">
        <f t="shared" si="5"/>
        <v>-0.11837266405452009</v>
      </c>
      <c r="J15" s="38">
        <f t="shared" si="1"/>
        <v>0.12216944435630522</v>
      </c>
      <c r="K15" s="39">
        <f t="shared" si="6"/>
        <v>-0.23945211093835822</v>
      </c>
      <c r="L15" s="39">
        <f t="shared" si="7"/>
        <v>0.23945211093835822</v>
      </c>
      <c r="N15" s="42">
        <v>14</v>
      </c>
      <c r="O15" s="43">
        <f t="shared" si="2"/>
        <v>-3.177373758566511E-2</v>
      </c>
      <c r="P15" s="45">
        <f>AD15</f>
        <v>-0.11837266405452009</v>
      </c>
      <c r="Q15" s="45">
        <f>Q14-(AC14*AD15)</f>
        <v>3.0636697381636345E-2</v>
      </c>
      <c r="R15" s="45">
        <f>R14-(AB14*AD15)</f>
        <v>-0.14998763971498288</v>
      </c>
      <c r="S15" s="45">
        <f>S14-(AA14*AD15)</f>
        <v>0.11520709088218313</v>
      </c>
      <c r="T15" s="31">
        <f>T14-(Z14*AD15)</f>
        <v>-0.16532517684338627</v>
      </c>
      <c r="U15" s="31">
        <f>U14-(Y14*AD15)</f>
        <v>4.7833656170071223E-2</v>
      </c>
      <c r="V15" s="31">
        <f>V14-(X14*AD15)</f>
        <v>1.4702602273211938E-2</v>
      </c>
      <c r="W15" s="31">
        <f>W14-(W14*AD15)</f>
        <v>0.11265111607701407</v>
      </c>
      <c r="X15" s="31">
        <f>X14-(V14*AD15)</f>
        <v>0.16251595410563341</v>
      </c>
      <c r="Y15" s="31">
        <f>Y14-(U14*AD15)</f>
        <v>1.8848793053574224E-2</v>
      </c>
      <c r="Z15" s="31">
        <f>Z14-(T14*AD15)</f>
        <v>-6.8981541193126827E-2</v>
      </c>
      <c r="AA15" s="31">
        <f>AA14-(S14*AD15)</f>
        <v>0.11503263912776779</v>
      </c>
      <c r="AB15" s="31">
        <f>AB14-(R14*AD15)</f>
        <v>-8.0193852251664643E-2</v>
      </c>
      <c r="AC15" s="31">
        <f>AC14-(Q14*AD15)</f>
        <v>-6.1529467489217962E-2</v>
      </c>
      <c r="AD15" s="44">
        <f>(O15-(Q14*O14+R14*O13+S14*O12+T14*O11+U14*O10+V14*O9+W14*O8+X14*O7+Y14*O6+Z14*O5+AA14*O4+AB14*O3+AC14*O2))/(1-(Q14*O2+R14*O3+S14*O4+T14*O5+U14*O6+V14*O7+W14*O8+X14*O9+Y14*O10+Z14*O11+AA14*O12+AB14*O13+AC14*O14))</f>
        <v>-0.11837266405452009</v>
      </c>
      <c r="AE15" s="31"/>
      <c r="AF15" s="31"/>
      <c r="AG15" s="31"/>
      <c r="AH15" s="46"/>
      <c r="AI15" s="46"/>
      <c r="AJ15" s="46"/>
    </row>
    <row r="16" spans="1:36" x14ac:dyDescent="0.3">
      <c r="A16" s="27">
        <v>15</v>
      </c>
      <c r="B16" s="39">
        <f>SARIMA!B29-SARIMA!C29</f>
        <v>7.4154961292492771E-2</v>
      </c>
      <c r="C16" s="28">
        <f t="shared" si="0"/>
        <v>6.7616039266614553E-2</v>
      </c>
      <c r="D16" s="29">
        <f>SUMPRODUCT($C$2:INDEX($C$2:$C$68,ROWS(C17:C$68)),$C17:C$68)/DEVSQ($C$2:$C$68)</f>
        <v>-0.11037633926476746</v>
      </c>
      <c r="E16" s="30">
        <f>SQRT((1/COUNT($C$2:$C$68))*(1+2*SUMSQ($D$2:D16)))</f>
        <v>0.14044855017895497</v>
      </c>
      <c r="F16" s="30">
        <f t="shared" si="3"/>
        <v>-0.27527915835075173</v>
      </c>
      <c r="G16" s="30">
        <f t="shared" si="4"/>
        <v>0.27527915835075173</v>
      </c>
      <c r="I16" s="37">
        <f t="shared" si="5"/>
        <v>-0.11558496663716065</v>
      </c>
      <c r="J16" s="38">
        <f t="shared" si="1"/>
        <v>0.12216944435630522</v>
      </c>
      <c r="K16" s="39">
        <f t="shared" si="6"/>
        <v>-0.23945211093835822</v>
      </c>
      <c r="L16" s="39">
        <f t="shared" si="7"/>
        <v>0.23945211093835822</v>
      </c>
      <c r="N16" s="42">
        <v>15</v>
      </c>
      <c r="O16" s="43">
        <f t="shared" si="2"/>
        <v>-0.11037633926476746</v>
      </c>
      <c r="P16" s="45">
        <f>AE16</f>
        <v>-0.11558496663716065</v>
      </c>
      <c r="Q16" s="45">
        <f>Q15-(AD15*AE16)</f>
        <v>1.6954596956142813E-2</v>
      </c>
      <c r="R16" s="45">
        <f>R15-(AC15*AE16)</f>
        <v>-0.15709952116192641</v>
      </c>
      <c r="S16" s="45">
        <f>S15-(AB15*AE16)</f>
        <v>0.10593788714516908</v>
      </c>
      <c r="T16" s="31">
        <f>T15-(AA15*AE16)</f>
        <v>-0.15202913308761867</v>
      </c>
      <c r="U16" s="31">
        <f>U15-(Z15*AE16)</f>
        <v>3.9860427032683735E-2</v>
      </c>
      <c r="V16" s="31">
        <f>V15-(Y15*AE16)</f>
        <v>1.6881239389460061E-2</v>
      </c>
      <c r="W16" s="31">
        <f>W15-(X15*AE16)</f>
        <v>0.13143551721032004</v>
      </c>
      <c r="X16" s="31">
        <f>X15-(W15*AE16)</f>
        <v>0.17553672959903399</v>
      </c>
      <c r="Y16" s="31">
        <f>Y15-(V15*AE16)</f>
        <v>2.0548192846802867E-2</v>
      </c>
      <c r="Z16" s="31">
        <f>Z15-(U15*AE16)</f>
        <v>-6.3452689640575738E-2</v>
      </c>
      <c r="AA16" s="31">
        <f>AA15-(T15*AE16)</f>
        <v>9.59235340780423E-2</v>
      </c>
      <c r="AB16" s="31">
        <f>AB15-(S15*AE16)</f>
        <v>-6.6877644495683175E-2</v>
      </c>
      <c r="AC16" s="31">
        <f>AC15-(R15*AE16)</f>
        <v>-7.8865783821660734E-2</v>
      </c>
      <c r="AD16" s="31">
        <f>AD15-(Q15*AE16)</f>
        <v>-0.11483152240979086</v>
      </c>
      <c r="AE16" s="44">
        <f>(O16-(Q15*O15+R15*O14+S15*O13+T15*O12+U15*O11+V15*O10+W15*O9+X15*O8+Y15*O7+Z15*O6+AA15*O5+AB15*O4+AC15*O3+AD15*O2))/(1-(Q15*O2+R15*O3+S15*O4+T15*O5+U15*O6+V15*O7+W15*O8+X15*O9+Y15*O10+Z15*O11+AA15*O12+AB15*O13+AC15*O14+AD15*O15))</f>
        <v>-0.11558496663716065</v>
      </c>
      <c r="AF16" s="31"/>
      <c r="AG16" s="31"/>
      <c r="AH16" s="46"/>
      <c r="AI16" s="46"/>
      <c r="AJ16" s="46"/>
    </row>
    <row r="17" spans="1:36" x14ac:dyDescent="0.3">
      <c r="A17" s="27">
        <v>16</v>
      </c>
      <c r="B17" s="39">
        <f>SARIMA!B30-SARIMA!C30</f>
        <v>0.68533071982921001</v>
      </c>
      <c r="C17" s="28">
        <f t="shared" si="0"/>
        <v>0.67879179780333176</v>
      </c>
      <c r="D17" s="29">
        <f>SUMPRODUCT($C$2:INDEX($C$2:$C$68,ROWS(C18:C$68)),$C18:C$68)/DEVSQ($C$2:$C$68)</f>
        <v>0.21495385190456487</v>
      </c>
      <c r="E17" s="30">
        <f>SQRT((1/COUNT($C$2:$C$68))*(1+2*SUMSQ($D$2:D17)))</f>
        <v>0.14527578500398117</v>
      </c>
      <c r="F17" s="30">
        <f t="shared" si="3"/>
        <v>-0.28474053860780307</v>
      </c>
      <c r="G17" s="30">
        <f t="shared" si="4"/>
        <v>0.28474053860780307</v>
      </c>
      <c r="I17" s="37">
        <f t="shared" si="5"/>
        <v>0.17784542067109665</v>
      </c>
      <c r="J17" s="38">
        <f t="shared" si="1"/>
        <v>0.12216944435630522</v>
      </c>
      <c r="K17" s="39">
        <f t="shared" si="6"/>
        <v>-0.23945211093835822</v>
      </c>
      <c r="L17" s="39">
        <f t="shared" si="7"/>
        <v>0.23945211093835822</v>
      </c>
      <c r="N17" s="42">
        <v>16</v>
      </c>
      <c r="O17" s="43">
        <f t="shared" si="2"/>
        <v>0.21495385190456487</v>
      </c>
      <c r="P17" s="45">
        <f>AF17</f>
        <v>0.17784542067109665</v>
      </c>
      <c r="Q17" s="45">
        <f>Q16-(AE16*AF17)</f>
        <v>3.7510853970983318E-2</v>
      </c>
      <c r="R17" s="45">
        <f>R16-(AD16*AF17)</f>
        <v>-0.13667726075265468</v>
      </c>
      <c r="S17" s="45">
        <f>S16-(AC16*AF17)</f>
        <v>0.1199638056454881</v>
      </c>
      <c r="T17" s="31">
        <f>T16-(AB16*AF17)</f>
        <v>-0.14013525026879184</v>
      </c>
      <c r="U17" s="31">
        <f>U16-(AA16*AF17)</f>
        <v>2.2800865762316026E-2</v>
      </c>
      <c r="V17" s="31">
        <f>V16-(Z16*AF17)</f>
        <v>2.8166009671300792E-2</v>
      </c>
      <c r="W17" s="31">
        <f>W16-(Y16*AF17)</f>
        <v>0.12778111520944957</v>
      </c>
      <c r="X17" s="31">
        <f>X16-(X16*AF17)</f>
        <v>0.14431832608026524</v>
      </c>
      <c r="Y17" s="31">
        <f>Y16-(W16*AF17)</f>
        <v>-2.8270120025896649E-3</v>
      </c>
      <c r="Z17" s="31">
        <f>Z16-(V16*AF17)</f>
        <v>-6.6454940761243753E-2</v>
      </c>
      <c r="AA17" s="31">
        <f>AA16-(U16*AF17)</f>
        <v>8.8834539664285103E-2</v>
      </c>
      <c r="AB17" s="31">
        <f>AB16-(T16*AF17)</f>
        <v>-3.9839959367453492E-2</v>
      </c>
      <c r="AC17" s="31">
        <f>AC16-(S16*AF17)</f>
        <v>-9.7706351926000495E-2</v>
      </c>
      <c r="AD17" s="31">
        <f>AD16-(R16*AF17)</f>
        <v>-8.6892091981520203E-2</v>
      </c>
      <c r="AE17" s="31">
        <f>AE16-(Q16*AF17)</f>
        <v>-0.11860026406513477</v>
      </c>
      <c r="AF17" s="44">
        <f>(O17-(Q16*O16+R16*O15+S16*O14+T16*O13+U16*O12+V16*O11+W16*O10+X16*O9+Y16*O8+Z16*O7+AA16*O6+AB16*O5+AC16*O4+AD16*O3+AE16*O2))/(1-(Q16*O2+R16*O3+S16*O4+T16*O5+U16*O6+V16*O7+W16*O8+X16*O9+Y16*O10+Z16*O11+AA16*O12+AB16*O13+AC16*O14+AD16*O15+AE16*O16))</f>
        <v>0.17784542067109665</v>
      </c>
      <c r="AG17" s="31"/>
      <c r="AH17" s="46"/>
      <c r="AI17" s="46"/>
      <c r="AJ17" s="46"/>
    </row>
    <row r="18" spans="1:36" x14ac:dyDescent="0.3">
      <c r="A18" s="27">
        <v>17</v>
      </c>
      <c r="B18" s="39">
        <f>SARIMA!B31-SARIMA!C31</f>
        <v>-2.6521374381559326E-2</v>
      </c>
      <c r="C18" s="28">
        <f t="shared" si="0"/>
        <v>-3.3060296407437538E-2</v>
      </c>
      <c r="D18" s="29">
        <f>SUMPRODUCT($C$2:INDEX($C$2:$C$68,ROWS(C19:C$68)),$C19:C$68)/DEVSQ($C$2:$C$68)</f>
        <v>-0.22580259785951448</v>
      </c>
      <c r="E18" s="30">
        <f>SQRT((1/COUNT($C$2:$C$68))*(1+2*SUMSQ($D$2:D18)))</f>
        <v>0.15042289763332811</v>
      </c>
      <c r="F18" s="30">
        <f t="shared" si="3"/>
        <v>-0.29482887936132307</v>
      </c>
      <c r="G18" s="30">
        <f t="shared" si="4"/>
        <v>0.29482887936132307</v>
      </c>
      <c r="I18" s="37">
        <f t="shared" si="5"/>
        <v>-0.32774297136490105</v>
      </c>
      <c r="J18" s="38">
        <f t="shared" si="1"/>
        <v>0.12216944435630522</v>
      </c>
      <c r="K18" s="39">
        <f t="shared" si="6"/>
        <v>-0.23945211093835822</v>
      </c>
      <c r="L18" s="39">
        <f t="shared" si="7"/>
        <v>0.23945211093835822</v>
      </c>
      <c r="N18" s="42">
        <v>17</v>
      </c>
      <c r="O18" s="43">
        <f t="shared" si="2"/>
        <v>-0.22580259785951448</v>
      </c>
      <c r="P18" s="45">
        <f>AG18</f>
        <v>-0.32774297136490105</v>
      </c>
      <c r="Q18" s="45">
        <f>Q17-(AF17*AG18)</f>
        <v>9.5798440585369321E-2</v>
      </c>
      <c r="R18" s="45">
        <f>R17-(AE17*AG18)</f>
        <v>-0.17554766370202385</v>
      </c>
      <c r="S18" s="45">
        <f>S17-(AD17*AG18)</f>
        <v>9.1485533231352376E-2</v>
      </c>
      <c r="T18" s="31">
        <f>T17-(AC17*AG18)</f>
        <v>-0.17215782037024396</v>
      </c>
      <c r="U18" s="31">
        <f>U17-(AB17*AG18)</f>
        <v>9.7435991001698953E-3</v>
      </c>
      <c r="V18" s="31">
        <f>V17-(AA17*AG18)</f>
        <v>5.7280905660706746E-2</v>
      </c>
      <c r="W18" s="31">
        <f>W17-(Z17*AG18)</f>
        <v>0.10600097546248106</v>
      </c>
      <c r="X18" s="31">
        <f>X17-(Y17*AG18)</f>
        <v>0.14339179276645225</v>
      </c>
      <c r="Y18" s="31">
        <f>Y17-(X17*AG18)</f>
        <v>4.4472305009365151E-2</v>
      </c>
      <c r="Z18" s="31">
        <f>Z17-(W17*AG18)</f>
        <v>-2.4575578378178004E-2</v>
      </c>
      <c r="AA18" s="31">
        <f>AA17-(V17*AG18)</f>
        <v>9.806575136544976E-2</v>
      </c>
      <c r="AB18" s="31">
        <f>AB17-(U17*AG18)</f>
        <v>-3.2367135872819801E-2</v>
      </c>
      <c r="AC18" s="31">
        <f>AC17-(T17*AG18)</f>
        <v>-0.14363469524205838</v>
      </c>
      <c r="AD18" s="31">
        <f>AD17-(S17*AG18)</f>
        <v>-4.7574797863026444E-2</v>
      </c>
      <c r="AE18" s="31">
        <f>AE17-(R17*AG18)</f>
        <v>-0.16339527562222519</v>
      </c>
      <c r="AF18" s="31">
        <f>AF17-(Q17*AG18)</f>
        <v>0.19013933940998162</v>
      </c>
      <c r="AG18" s="44">
        <f>(O18-(Q17*O17+R17*O16+S17*O15+T17*O14+U17*O13+V17*O12+W17*O11+X17*O10+Y17*O9+Z17*O8+AA17*O7+AB17*O6+AC17*O5+AD17*O4+AE17*O3+AF17*O2))/(1-(Q17*O2+R17*O3+S17*O4+T17*O5+U17*O6+V17*O7+W17*O8+X17*O9+Y17*O10+Z17*O11+AA17*O12+AB17*O13+AC17*O14+AD17*O15+AE17*O16+AF17*O17))</f>
        <v>-0.32774297136490105</v>
      </c>
      <c r="AH18" s="46"/>
      <c r="AI18" s="46"/>
      <c r="AJ18" s="46"/>
    </row>
    <row r="19" spans="1:36" x14ac:dyDescent="0.3">
      <c r="A19" s="27">
        <v>18</v>
      </c>
      <c r="B19" s="39">
        <f>SARIMA!B32-SARIMA!C32</f>
        <v>0.10422317124124447</v>
      </c>
      <c r="C19" s="28">
        <f t="shared" si="0"/>
        <v>9.7684249215366253E-2</v>
      </c>
      <c r="D19" s="29">
        <f>SUMPRODUCT($C$2:INDEX($C$2:$C$68,ROWS(C20:C$68)),$C20:C$68)/DEVSQ($C$2:$C$68)</f>
        <v>-4.1883939616416198E-2</v>
      </c>
      <c r="E19" s="30">
        <f>SQRT((1/COUNT($C$2:$C$68))*(1+2*SUMSQ($D$2:D19)))</f>
        <v>0.15059685997335179</v>
      </c>
      <c r="F19" s="30">
        <f t="shared" si="3"/>
        <v>-0.29516984554776948</v>
      </c>
      <c r="G19" s="30">
        <f t="shared" si="4"/>
        <v>0.29516984554776948</v>
      </c>
      <c r="I19" s="37">
        <f t="shared" si="5"/>
        <v>8.9027909743961908E-2</v>
      </c>
      <c r="J19" s="38">
        <f t="shared" si="1"/>
        <v>0.12216944435630522</v>
      </c>
      <c r="K19" s="39">
        <f t="shared" si="6"/>
        <v>-0.23945211093835822</v>
      </c>
      <c r="L19" s="39">
        <f t="shared" si="7"/>
        <v>0.23945211093835822</v>
      </c>
      <c r="N19" s="49">
        <v>18</v>
      </c>
      <c r="O19" s="43">
        <f t="shared" si="2"/>
        <v>-4.1883939616416198E-2</v>
      </c>
      <c r="P19" s="45">
        <f>AH19</f>
        <v>8.9027909743961908E-2</v>
      </c>
      <c r="Q19" s="45">
        <f>Q18-(AG18*AH19)</f>
        <v>0.12497671225926163</v>
      </c>
      <c r="R19" s="45">
        <f>R18-(AF18*AH19)</f>
        <v>-0.19247537164979223</v>
      </c>
      <c r="S19" s="45">
        <f>S18-(AE18*AH19)</f>
        <v>0.10603227308203762</v>
      </c>
      <c r="T19" s="31">
        <f>T18-(AD18*AH19)</f>
        <v>-0.16792233556000721</v>
      </c>
      <c r="U19" s="31">
        <f>U18-(AC18*AH19)</f>
        <v>2.2531095784281342E-2</v>
      </c>
      <c r="V19" s="31">
        <f>V18-(AB18*AH19)</f>
        <v>6.0162484111862702E-2</v>
      </c>
      <c r="W19" s="31">
        <f>W18-(AA18*AH19)</f>
        <v>9.7270386600943989E-2</v>
      </c>
      <c r="X19" s="31">
        <f>X18-(Z18*AH19)</f>
        <v>0.14557970514021035</v>
      </c>
      <c r="Y19" s="31">
        <f>Y18-(Y18*AH19)</f>
        <v>4.0513028652885447E-2</v>
      </c>
      <c r="Z19" s="31">
        <f>Z18-(X18*AH19)</f>
        <v>-3.7341449962614605E-2</v>
      </c>
      <c r="AA19" s="31">
        <f>AA18-(W18*AH19)</f>
        <v>8.8628706089204076E-2</v>
      </c>
      <c r="AB19" s="31">
        <f>AB18-(V18*AH19)</f>
        <v>-3.7466735172033597E-2</v>
      </c>
      <c r="AC19" s="31">
        <f>AC18-(U18*AH19)</f>
        <v>-0.14450214750332965</v>
      </c>
      <c r="AD19" s="31">
        <f>AD18-(T18*AH19)</f>
        <v>-3.2247946969387153E-2</v>
      </c>
      <c r="AE19" s="31">
        <f>AE18-(S18*AH19)</f>
        <v>-0.17154004141762427</v>
      </c>
      <c r="AF19" s="31">
        <f>AF18-(R18*AH19)</f>
        <v>0.20576798096980878</v>
      </c>
      <c r="AG19" s="50">
        <f>AG18-(Q18*AH19)</f>
        <v>-0.33627170628694758</v>
      </c>
      <c r="AH19" s="44">
        <f>(O19-(Q18*O18+R18*O17+S18*O16+T18*O15+U18*O14+V18*O13+W18*O12+X18*O11+Y18*O10+Z18*O9+AA18*O8+AB18*O7+AC18*O6+AD18*O5+AE18*O4+AF18*O3+AG18*O2))/(1-(Q18*O2+R18*O3+S18*O4+T18*O5+U18*O6+V18*O7+W18*O8+X18*O9+Y18*O10+Z18*O11+AA18*O12+AB18*O13+AC18*O14+AD18*O15+AE18*O16+AF18*O17+AG18*O18))</f>
        <v>8.9027909743961908E-2</v>
      </c>
      <c r="AI19" s="46"/>
      <c r="AJ19" s="46"/>
    </row>
    <row r="20" spans="1:36" x14ac:dyDescent="0.3">
      <c r="A20" s="27">
        <v>19</v>
      </c>
      <c r="B20" s="39">
        <f>SARIMA!B33-SARIMA!C33</f>
        <v>-0.11211204001261876</v>
      </c>
      <c r="C20" s="28">
        <f t="shared" si="0"/>
        <v>-0.11865096203849698</v>
      </c>
      <c r="D20" s="29">
        <f>SUMPRODUCT($C$2:INDEX($C$2:$C$68,ROWS(C21:C$68)),$C21:C$68)/DEVSQ($C$2:$C$68)</f>
        <v>0.19326709775123418</v>
      </c>
      <c r="E20" s="30">
        <f>SQRT((1/COUNT($C$2:$C$68))*(1+2*SUMSQ($D$2:D20)))</f>
        <v>0.1542543497445775</v>
      </c>
      <c r="F20" s="30">
        <f t="shared" si="3"/>
        <v>-0.3023385254993719</v>
      </c>
      <c r="G20" s="30">
        <f t="shared" si="4"/>
        <v>0.3023385254993719</v>
      </c>
      <c r="I20" s="37">
        <f t="shared" si="5"/>
        <v>1.4925412033990075E-2</v>
      </c>
      <c r="J20" s="38">
        <f t="shared" si="1"/>
        <v>0.12216944435630522</v>
      </c>
      <c r="K20" s="39">
        <f t="shared" si="6"/>
        <v>-0.23945211093835822</v>
      </c>
      <c r="L20" s="39">
        <f t="shared" si="7"/>
        <v>0.23945211093835822</v>
      </c>
      <c r="N20" s="49">
        <v>19</v>
      </c>
      <c r="O20" s="43">
        <f t="shared" si="2"/>
        <v>0.19326709775123418</v>
      </c>
      <c r="P20" s="45">
        <f>AI20</f>
        <v>1.4925412033990075E-2</v>
      </c>
      <c r="Q20" s="45">
        <f>Q19-(AH19*AI20)</f>
        <v>0.12364793402380812</v>
      </c>
      <c r="R20" s="45">
        <f>R19-(AG19*AI20)</f>
        <v>-0.18745637787808664</v>
      </c>
      <c r="S20" s="45">
        <f>S19-(AF19*AI20)</f>
        <v>0.102961101182661</v>
      </c>
      <c r="T20" s="31">
        <f>T19-(AE19*AI20)</f>
        <v>-0.16536202976152145</v>
      </c>
      <c r="U20" s="31">
        <f>U19-(AD19*AI20)</f>
        <v>2.3012409680049709E-2</v>
      </c>
      <c r="V20" s="31">
        <f>V19-(AC19*AI20)</f>
        <v>6.2319238203146304E-2</v>
      </c>
      <c r="W20" s="31">
        <f>W19-(AB19*AI20)</f>
        <v>9.7829593060954984E-2</v>
      </c>
      <c r="X20" s="31">
        <f>X19-(AA19*AI20)</f>
        <v>0.14425688518378957</v>
      </c>
      <c r="Y20" s="31">
        <f>Y19-(Z19*AI20)</f>
        <v>4.1070365179524095E-2</v>
      </c>
      <c r="Z20" s="31">
        <f>Z19-(Y19*AI20)</f>
        <v>-3.7946123608003764E-2</v>
      </c>
      <c r="AA20" s="31">
        <f>AA19-(X19*AI20)</f>
        <v>8.6455869006199657E-2</v>
      </c>
      <c r="AB20" s="31">
        <f>AB19-(W19*AI20)</f>
        <v>-3.8918535770758191E-2</v>
      </c>
      <c r="AC20" s="31">
        <f>AC19-(V19*AI20)</f>
        <v>-0.14540009736768758</v>
      </c>
      <c r="AD20" s="31">
        <f>AD19-(U19*AI20)</f>
        <v>-3.2584232857544852E-2</v>
      </c>
      <c r="AE20" s="31">
        <f>AE19-(T19*AI20)</f>
        <v>-0.16903373136968122</v>
      </c>
      <c r="AF20" s="31">
        <f>AF19-(S19*AI20)</f>
        <v>0.2041854056051588</v>
      </c>
      <c r="AG20" s="50">
        <f>AG19-(R19*AI20)</f>
        <v>-0.33339893205867904</v>
      </c>
      <c r="AH20" s="50">
        <f>AH19-(Q19*AI20)</f>
        <v>8.7162580818839014E-2</v>
      </c>
      <c r="AI20" s="44">
        <f>(O20-(Q19*O19+R19*O18+S19*O17+T19*O16+U19*O15+V19*O14+W19*O13+X19*O12+Y19*O11+Z19*O10+AA19*O9+AB19*O8+AC19*O7+AD19*O6+AE19*O5+AF19*O4+AG19*O3+AH19*O2))/(1-(Q19*O2+R19*O3+S19*O4+T19*O5+U19*O6+V19*O7+W19*O8+X19*O9+Y19*O10+Z19*O11+AA19*O12+AB19*O13+AC19*O14+AD19*O15+AE19*O16+AF19*O17+AG19*O18+AH19*O19))</f>
        <v>1.4925412033990075E-2</v>
      </c>
      <c r="AJ20" s="46"/>
    </row>
    <row r="21" spans="1:36" x14ac:dyDescent="0.3">
      <c r="A21" s="27">
        <v>20</v>
      </c>
      <c r="B21" s="39">
        <f>SARIMA!B34-SARIMA!C34</f>
        <v>-0.44305521488820432</v>
      </c>
      <c r="C21" s="28">
        <f t="shared" si="0"/>
        <v>-0.44959413691408251</v>
      </c>
      <c r="D21" s="29">
        <f>SUMPRODUCT($C$2:INDEX($C$2:$C$68,ROWS(C22:C$68)),$C22:C$68)/DEVSQ($C$2:$C$68)</f>
        <v>-0.14943339487510282</v>
      </c>
      <c r="E21" s="30">
        <f>SQRT((1/COUNT($C$2:$C$68))*(1+2*SUMSQ($D$2:D21)))</f>
        <v>0.15640006941733198</v>
      </c>
      <c r="F21" s="30">
        <f t="shared" si="3"/>
        <v>-0.30654413605797065</v>
      </c>
      <c r="G21" s="30">
        <f t="shared" si="4"/>
        <v>0.30654413605797065</v>
      </c>
      <c r="I21" s="37">
        <f t="shared" si="5"/>
        <v>-1.0727697013399198E-2</v>
      </c>
      <c r="J21" s="38">
        <f t="shared" si="1"/>
        <v>0.12216944435630522</v>
      </c>
      <c r="K21" s="39">
        <f t="shared" si="6"/>
        <v>-0.23945211093835822</v>
      </c>
      <c r="L21" s="39">
        <f t="shared" si="7"/>
        <v>0.23945211093835822</v>
      </c>
      <c r="N21" s="49">
        <v>20</v>
      </c>
      <c r="O21" s="43">
        <f t="shared" si="2"/>
        <v>-0.14943339487510282</v>
      </c>
      <c r="P21" s="45">
        <f>AJ21</f>
        <v>-1.0727697013399198E-2</v>
      </c>
      <c r="Q21" s="45">
        <f>Q20-(AI20*AJ21)</f>
        <v>0.12380804932190891</v>
      </c>
      <c r="R21" s="45">
        <f>R20-(AH20*AJ21)</f>
        <v>-0.18652132412015621</v>
      </c>
      <c r="S21" s="45">
        <f>S20-(AG20*AJ21)</f>
        <v>9.9384498454944625E-2</v>
      </c>
      <c r="T21" s="31">
        <f>T20-(AF20*R21)</f>
        <v>-0.12727709754203606</v>
      </c>
      <c r="U21" s="31">
        <f>U20-(AE20*AJ21)</f>
        <v>2.1199067024871458E-2</v>
      </c>
      <c r="V21" s="31">
        <f>V20-(AD20*AJ21)</f>
        <v>6.1969684425636516E-2</v>
      </c>
      <c r="W21" s="31">
        <f>W20-(AC20*AJ21)</f>
        <v>9.6269784870675695E-2</v>
      </c>
      <c r="X21" s="31">
        <f>X20-(AB20*AJ21)</f>
        <v>0.14383937892383575</v>
      </c>
      <c r="Y21" s="31">
        <f>Y20-(AA20*AJ21)</f>
        <v>4.1997837547252732E-2</v>
      </c>
      <c r="Z21" s="31">
        <f>Z20-(Z20*AJ21)</f>
        <v>-3.8353198124903419E-2</v>
      </c>
      <c r="AA21" s="31">
        <f>AA20-(Y20*AJ21)</f>
        <v>8.6896459440075249E-2</v>
      </c>
      <c r="AB21" s="31">
        <f>AB20-(X20*AJ21)</f>
        <v>-3.7370991614409779E-2</v>
      </c>
      <c r="AC21" s="31">
        <f>AC20-(W20*AJ21)</f>
        <v>-0.14435061113438552</v>
      </c>
      <c r="AD21" s="31">
        <f>AD20-(V20*AJ21)</f>
        <v>-3.1915690951995646E-2</v>
      </c>
      <c r="AE21" s="31">
        <f>AE20-(U20*AJ21)</f>
        <v>-0.16878686121108544</v>
      </c>
      <c r="AF21" s="31">
        <f>AF20-(T20*AJ21)</f>
        <v>0.20241145185235648</v>
      </c>
      <c r="AG21" s="50">
        <f>AG20-(S20*AJ21)</f>
        <v>-0.3322943965610255</v>
      </c>
      <c r="AH21" s="50">
        <f>AH20-(Q20*AJ21)</f>
        <v>8.8489038391379199E-2</v>
      </c>
      <c r="AI21" s="50">
        <f>AI20-(Q20*AJ21)</f>
        <v>1.6251869606530262E-2</v>
      </c>
      <c r="AJ21" s="44">
        <f>(O21-(Q20*O20+R20*O19+S20*O18+T20*O17+U20*O16+V20*O15+W20*O14+X20*O13+Y20*O12+Z20*O11+AA20*O10+AB20*O9+AC20*O8+AD20*O7+AE20*O6+AF20*O5+AG20*O4+AH20*O3+AI20*O2))/(1-(Q20*O2+R20*O3+S20*O4+T20*O5+U20*O6+V20*O7+W20*O8+X20*O9+Y20*O10+Z20*O11+AA20*O12+AB20*O13+AC20*O14+AD20*O15+AE20*O16+AF20*O17+AG20*O18+AH20*O19+AI20*O20))</f>
        <v>-1.0727697013399198E-2</v>
      </c>
    </row>
    <row r="22" spans="1:36" x14ac:dyDescent="0.3">
      <c r="A22" s="27">
        <v>21</v>
      </c>
      <c r="B22" s="39">
        <f>SARIMA!B35-SARIMA!C35</f>
        <v>0.56336203648618266</v>
      </c>
      <c r="C22" s="28">
        <f t="shared" si="0"/>
        <v>0.55682311446030441</v>
      </c>
    </row>
    <row r="23" spans="1:36" x14ac:dyDescent="0.3">
      <c r="A23" s="27">
        <v>22</v>
      </c>
      <c r="B23" s="39">
        <f>SARIMA!B36-SARIMA!C36</f>
        <v>-7.854975074729964E-2</v>
      </c>
      <c r="C23" s="28">
        <f t="shared" si="0"/>
        <v>-8.5088672773177859E-2</v>
      </c>
    </row>
    <row r="24" spans="1:36" x14ac:dyDescent="0.3">
      <c r="A24" s="27">
        <v>23</v>
      </c>
      <c r="B24" s="39">
        <f>SARIMA!B37-SARIMA!C37</f>
        <v>-0.55900893988280131</v>
      </c>
      <c r="C24" s="28">
        <f t="shared" si="0"/>
        <v>-0.56554786190867956</v>
      </c>
    </row>
    <row r="25" spans="1:36" x14ac:dyDescent="0.3">
      <c r="A25" s="27">
        <v>24</v>
      </c>
      <c r="B25" s="39">
        <f>SARIMA!B38-SARIMA!C38</f>
        <v>0.84560194736360472</v>
      </c>
      <c r="C25" s="28">
        <f t="shared" si="0"/>
        <v>0.83906302533772648</v>
      </c>
    </row>
    <row r="26" spans="1:36" x14ac:dyDescent="0.3">
      <c r="A26" s="27">
        <v>25</v>
      </c>
      <c r="B26" s="39">
        <f>SARIMA!B39-SARIMA!C39</f>
        <v>-6.3467843334478857E-2</v>
      </c>
      <c r="C26" s="28">
        <f t="shared" si="0"/>
        <v>-7.0006765360357076E-2</v>
      </c>
    </row>
    <row r="27" spans="1:36" x14ac:dyDescent="0.3">
      <c r="A27" s="27">
        <v>26</v>
      </c>
      <c r="B27" s="39">
        <f>SARIMA!B40-SARIMA!C40</f>
        <v>-0.30030283355898746</v>
      </c>
      <c r="C27" s="28">
        <f t="shared" si="0"/>
        <v>-0.30684175558486565</v>
      </c>
    </row>
    <row r="28" spans="1:36" x14ac:dyDescent="0.3">
      <c r="A28" s="27">
        <v>27</v>
      </c>
      <c r="B28" s="39">
        <f>SARIMA!B41-SARIMA!C41</f>
        <v>-0.1352772848659356</v>
      </c>
      <c r="C28" s="28">
        <f t="shared" si="0"/>
        <v>-0.14181620689181382</v>
      </c>
    </row>
    <row r="29" spans="1:36" x14ac:dyDescent="0.3">
      <c r="A29" s="27">
        <v>28</v>
      </c>
      <c r="B29" s="39">
        <f>SARIMA!B42-SARIMA!C42</f>
        <v>0.10210896518657364</v>
      </c>
      <c r="C29" s="28">
        <f t="shared" si="0"/>
        <v>9.5570043160695423E-2</v>
      </c>
    </row>
    <row r="30" spans="1:36" x14ac:dyDescent="0.3">
      <c r="A30" s="27">
        <v>29</v>
      </c>
      <c r="B30" s="39">
        <f>SARIMA!B43-SARIMA!C43</f>
        <v>-6.1625617952302036E-2</v>
      </c>
      <c r="C30" s="28">
        <f t="shared" si="0"/>
        <v>-6.8164539978180255E-2</v>
      </c>
    </row>
    <row r="31" spans="1:36" x14ac:dyDescent="0.3">
      <c r="A31" s="27">
        <v>30</v>
      </c>
      <c r="B31" s="39">
        <f>SARIMA!B44-SARIMA!C44</f>
        <v>4.6764762406553473E-2</v>
      </c>
      <c r="C31" s="28">
        <f t="shared" si="0"/>
        <v>4.0225840380675261E-2</v>
      </c>
    </row>
    <row r="32" spans="1:36" x14ac:dyDescent="0.3">
      <c r="A32" s="27">
        <v>31</v>
      </c>
      <c r="B32" s="39">
        <f>SARIMA!B45-SARIMA!C45</f>
        <v>0.27813491411444602</v>
      </c>
      <c r="C32" s="28">
        <f t="shared" si="0"/>
        <v>0.27159599208856783</v>
      </c>
    </row>
    <row r="33" spans="1:3" x14ac:dyDescent="0.3">
      <c r="A33" s="27">
        <v>32</v>
      </c>
      <c r="B33" s="39">
        <f>SARIMA!B46-SARIMA!C46</f>
        <v>0.40704723238258111</v>
      </c>
      <c r="C33" s="28">
        <f t="shared" si="0"/>
        <v>0.40050831035670292</v>
      </c>
    </row>
    <row r="34" spans="1:3" x14ac:dyDescent="0.3">
      <c r="A34" s="27">
        <v>33</v>
      </c>
      <c r="B34" s="39">
        <f>SARIMA!B47-SARIMA!C47</f>
        <v>-9.2247755495520778E-2</v>
      </c>
      <c r="C34" s="28">
        <f t="shared" ref="C34:C65" si="8">B34-AVERAGE($B$2:$B$68)</f>
        <v>-9.8786677521398997E-2</v>
      </c>
    </row>
    <row r="35" spans="1:3" x14ac:dyDescent="0.3">
      <c r="A35" s="27">
        <v>34</v>
      </c>
      <c r="B35" s="39">
        <f>SARIMA!B48-SARIMA!C48</f>
        <v>-0.35533871950781304</v>
      </c>
      <c r="C35" s="28">
        <f t="shared" si="8"/>
        <v>-0.36187764153369123</v>
      </c>
    </row>
    <row r="36" spans="1:3" x14ac:dyDescent="0.3">
      <c r="A36" s="27">
        <v>35</v>
      </c>
      <c r="B36" s="39">
        <f>SARIMA!B49-SARIMA!C49</f>
        <v>0.23151381085915546</v>
      </c>
      <c r="C36" s="28">
        <f t="shared" si="8"/>
        <v>0.22497488883327724</v>
      </c>
    </row>
    <row r="37" spans="1:3" x14ac:dyDescent="0.3">
      <c r="A37" s="27">
        <v>36</v>
      </c>
      <c r="B37" s="39">
        <f>SARIMA!B50-SARIMA!C50</f>
        <v>6.0587890290150881E-2</v>
      </c>
      <c r="C37" s="28">
        <f t="shared" si="8"/>
        <v>5.4048968264272669E-2</v>
      </c>
    </row>
    <row r="38" spans="1:3" x14ac:dyDescent="0.3">
      <c r="A38" s="27">
        <v>37</v>
      </c>
      <c r="B38" s="39">
        <f>SARIMA!B51-SARIMA!C51</f>
        <v>0.43840064309739546</v>
      </c>
      <c r="C38" s="28">
        <f t="shared" si="8"/>
        <v>0.43186172107151727</v>
      </c>
    </row>
    <row r="39" spans="1:3" x14ac:dyDescent="0.3">
      <c r="A39" s="27">
        <v>38</v>
      </c>
      <c r="B39" s="39">
        <f>SARIMA!B52-SARIMA!C52</f>
        <v>0.37297303615486044</v>
      </c>
      <c r="C39" s="28">
        <f t="shared" si="8"/>
        <v>0.36643411412898225</v>
      </c>
    </row>
    <row r="40" spans="1:3" x14ac:dyDescent="0.3">
      <c r="A40" s="27">
        <v>39</v>
      </c>
      <c r="B40" s="39">
        <f>SARIMA!B53-SARIMA!C53</f>
        <v>-0.30095337000614109</v>
      </c>
      <c r="C40" s="28">
        <f t="shared" si="8"/>
        <v>-0.30749229203201928</v>
      </c>
    </row>
    <row r="41" spans="1:3" x14ac:dyDescent="0.3">
      <c r="A41" s="27">
        <v>40</v>
      </c>
      <c r="B41" s="39">
        <f>SARIMA!B54-SARIMA!C54</f>
        <v>0.74071216609809198</v>
      </c>
      <c r="C41" s="28">
        <f t="shared" si="8"/>
        <v>0.73417324407221374</v>
      </c>
    </row>
    <row r="42" spans="1:3" x14ac:dyDescent="0.3">
      <c r="A42" s="27">
        <v>41</v>
      </c>
      <c r="B42" s="39">
        <f>SARIMA!B55-SARIMA!C55</f>
        <v>-0.31058458798253241</v>
      </c>
      <c r="C42" s="28">
        <f t="shared" si="8"/>
        <v>-0.3171235100084106</v>
      </c>
    </row>
    <row r="43" spans="1:3" x14ac:dyDescent="0.3">
      <c r="A43" s="27">
        <v>42</v>
      </c>
      <c r="B43" s="39">
        <f>SARIMA!B56-SARIMA!C56</f>
        <v>0.13267981610135848</v>
      </c>
      <c r="C43" s="28">
        <f t="shared" si="8"/>
        <v>0.12614089407548026</v>
      </c>
    </row>
    <row r="44" spans="1:3" x14ac:dyDescent="0.3">
      <c r="A44" s="27">
        <v>43</v>
      </c>
      <c r="B44" s="39">
        <f>SARIMA!B57-SARIMA!C57</f>
        <v>0.29686218528451036</v>
      </c>
      <c r="C44" s="28">
        <f t="shared" si="8"/>
        <v>0.29032326325863217</v>
      </c>
    </row>
    <row r="45" spans="1:3" x14ac:dyDescent="0.3">
      <c r="A45" s="27">
        <v>44</v>
      </c>
      <c r="B45" s="39">
        <f>SARIMA!B58-SARIMA!C58</f>
        <v>-5.0686086797611551E-2</v>
      </c>
      <c r="C45" s="28">
        <f t="shared" si="8"/>
        <v>-5.7225008823489763E-2</v>
      </c>
    </row>
    <row r="46" spans="1:3" x14ac:dyDescent="0.3">
      <c r="A46" s="27">
        <v>45</v>
      </c>
      <c r="B46" s="39">
        <f>SARIMA!B59-SARIMA!C59</f>
        <v>0.16221820057597824</v>
      </c>
      <c r="C46" s="28">
        <f t="shared" si="8"/>
        <v>0.15567927855010003</v>
      </c>
    </row>
    <row r="47" spans="1:3" x14ac:dyDescent="0.3">
      <c r="A47" s="27">
        <v>46</v>
      </c>
      <c r="B47" s="39">
        <f>SARIMA!B60-SARIMA!C60</f>
        <v>-3.3331110325320878E-3</v>
      </c>
      <c r="C47" s="28">
        <f t="shared" si="8"/>
        <v>-9.8720330584103014E-3</v>
      </c>
    </row>
    <row r="48" spans="1:3" x14ac:dyDescent="0.3">
      <c r="A48" s="27">
        <v>47</v>
      </c>
      <c r="B48" s="39">
        <f>SARIMA!B61-SARIMA!C61</f>
        <v>0.34759222766672337</v>
      </c>
      <c r="C48" s="28">
        <f t="shared" si="8"/>
        <v>0.34105330564084518</v>
      </c>
    </row>
    <row r="49" spans="1:3" x14ac:dyDescent="0.3">
      <c r="A49" s="27">
        <v>48</v>
      </c>
      <c r="B49" s="39">
        <f>SARIMA!B62-SARIMA!C62</f>
        <v>0.14411998678258442</v>
      </c>
      <c r="C49" s="28">
        <f t="shared" si="8"/>
        <v>0.1375810647567062</v>
      </c>
    </row>
    <row r="50" spans="1:3" x14ac:dyDescent="0.3">
      <c r="A50" s="27">
        <v>49</v>
      </c>
      <c r="B50" s="39">
        <f>SARIMA!B63-SARIMA!C63</f>
        <v>0.14216037813088178</v>
      </c>
      <c r="C50" s="28">
        <f t="shared" si="8"/>
        <v>0.13562145610500356</v>
      </c>
    </row>
    <row r="51" spans="1:3" x14ac:dyDescent="0.3">
      <c r="A51" s="27">
        <v>50</v>
      </c>
      <c r="B51" s="39">
        <f>SARIMA!B64-SARIMA!C64</f>
        <v>1.1877692487189506E-2</v>
      </c>
      <c r="C51" s="28">
        <f t="shared" si="8"/>
        <v>5.3387704613112926E-3</v>
      </c>
    </row>
    <row r="52" spans="1:3" x14ac:dyDescent="0.3">
      <c r="A52" s="27">
        <v>51</v>
      </c>
      <c r="B52" s="39">
        <f>SARIMA!B65-SARIMA!C65</f>
        <v>0.23370467185384314</v>
      </c>
      <c r="C52" s="28">
        <f t="shared" si="8"/>
        <v>0.22716574982796492</v>
      </c>
    </row>
    <row r="53" spans="1:3" x14ac:dyDescent="0.3">
      <c r="A53" s="27">
        <v>52</v>
      </c>
      <c r="B53" s="39">
        <f>SARIMA!B66-SARIMA!C66</f>
        <v>-0.28996696110027642</v>
      </c>
      <c r="C53" s="28">
        <f t="shared" si="8"/>
        <v>-0.29650588312615461</v>
      </c>
    </row>
    <row r="54" spans="1:3" x14ac:dyDescent="0.3">
      <c r="A54" s="27">
        <v>53</v>
      </c>
      <c r="B54" s="39">
        <f>SARIMA!B67-SARIMA!C67</f>
        <v>9.6692400341851226E-2</v>
      </c>
      <c r="C54" s="28">
        <f t="shared" si="8"/>
        <v>9.0153478315973007E-2</v>
      </c>
    </row>
    <row r="55" spans="1:3" x14ac:dyDescent="0.3">
      <c r="A55" s="27">
        <v>54</v>
      </c>
      <c r="B55" s="39">
        <f>SARIMA!B68-SARIMA!C68</f>
        <v>-0.33479460522937643</v>
      </c>
      <c r="C55" s="28">
        <f t="shared" si="8"/>
        <v>-0.34133352725525462</v>
      </c>
    </row>
    <row r="56" spans="1:3" x14ac:dyDescent="0.3">
      <c r="A56" s="27">
        <v>55</v>
      </c>
      <c r="B56" s="39">
        <f>SARIMA!B69-SARIMA!C69</f>
        <v>-0.4031266605509245</v>
      </c>
      <c r="C56" s="28">
        <f t="shared" si="8"/>
        <v>-0.40966558257680269</v>
      </c>
    </row>
    <row r="57" spans="1:3" x14ac:dyDescent="0.3">
      <c r="A57" s="27">
        <v>56</v>
      </c>
      <c r="B57" s="39">
        <f>SARIMA!B70-SARIMA!C70</f>
        <v>-5.6037816629384452E-2</v>
      </c>
      <c r="C57" s="28">
        <f t="shared" si="8"/>
        <v>-6.257673865526267E-2</v>
      </c>
    </row>
    <row r="58" spans="1:3" x14ac:dyDescent="0.3">
      <c r="A58" s="27">
        <v>57</v>
      </c>
      <c r="B58" s="39">
        <f>SARIMA!B71-SARIMA!C71</f>
        <v>-0.32356239061033421</v>
      </c>
      <c r="C58" s="28">
        <f t="shared" si="8"/>
        <v>-0.3301013126362124</v>
      </c>
    </row>
    <row r="59" spans="1:3" x14ac:dyDescent="0.3">
      <c r="A59" s="27">
        <v>58</v>
      </c>
      <c r="B59" s="39">
        <f>SARIMA!B72-SARIMA!C72</f>
        <v>0.38972548055363632</v>
      </c>
      <c r="C59" s="28">
        <f t="shared" si="8"/>
        <v>0.38318655852775813</v>
      </c>
    </row>
    <row r="60" spans="1:3" x14ac:dyDescent="0.3">
      <c r="A60" s="27">
        <v>59</v>
      </c>
      <c r="B60" s="39">
        <f>SARIMA!B73-SARIMA!C73</f>
        <v>0.87415534342449064</v>
      </c>
      <c r="C60" s="28">
        <f t="shared" si="8"/>
        <v>0.86761642139861239</v>
      </c>
    </row>
    <row r="61" spans="1:3" x14ac:dyDescent="0.3">
      <c r="A61" s="27">
        <v>60</v>
      </c>
      <c r="B61" s="39">
        <f>SARIMA!B74-SARIMA!C74</f>
        <v>-0.21418310969693266</v>
      </c>
      <c r="C61" s="28">
        <f t="shared" si="8"/>
        <v>-0.22072203172281088</v>
      </c>
    </row>
    <row r="62" spans="1:3" x14ac:dyDescent="0.3">
      <c r="A62" s="27">
        <v>61</v>
      </c>
      <c r="B62" s="39">
        <f>SARIMA!B75-SARIMA!C75</f>
        <v>-0.90298316994773131</v>
      </c>
      <c r="C62" s="28">
        <f t="shared" si="8"/>
        <v>-0.90952209197360956</v>
      </c>
    </row>
    <row r="63" spans="1:3" x14ac:dyDescent="0.3">
      <c r="A63" s="27">
        <v>62</v>
      </c>
      <c r="B63" s="39">
        <f>SARIMA!B76-SARIMA!C76</f>
        <v>-0.68247305134929093</v>
      </c>
      <c r="C63" s="28">
        <f t="shared" si="8"/>
        <v>-0.68901197337516917</v>
      </c>
    </row>
    <row r="64" spans="1:3" x14ac:dyDescent="0.3">
      <c r="A64" s="27">
        <v>63</v>
      </c>
      <c r="B64" s="39">
        <f>SARIMA!B77-SARIMA!C77</f>
        <v>-1.8230517909842092E-2</v>
      </c>
      <c r="C64" s="28">
        <f t="shared" si="8"/>
        <v>-2.4769439935720304E-2</v>
      </c>
    </row>
    <row r="65" spans="1:3" x14ac:dyDescent="0.3">
      <c r="A65" s="27">
        <v>64</v>
      </c>
      <c r="B65" s="39">
        <f>SARIMA!B78-SARIMA!C78</f>
        <v>-0.45154067987613189</v>
      </c>
      <c r="C65" s="28">
        <f t="shared" si="8"/>
        <v>-0.45807960190201008</v>
      </c>
    </row>
    <row r="66" spans="1:3" x14ac:dyDescent="0.3">
      <c r="A66" s="27">
        <v>65</v>
      </c>
      <c r="B66" s="39">
        <f>SARIMA!B79-SARIMA!C79</f>
        <v>5.9693137028489218E-2</v>
      </c>
      <c r="C66" s="28">
        <f t="shared" ref="C66:C68" si="9">B66-AVERAGE($B$2:$B$68)</f>
        <v>5.3154215002611006E-2</v>
      </c>
    </row>
    <row r="67" spans="1:3" x14ac:dyDescent="0.3">
      <c r="A67" s="27">
        <v>66</v>
      </c>
      <c r="B67" s="39">
        <f>SARIMA!B80-SARIMA!C80</f>
        <v>0.14799654593696232</v>
      </c>
      <c r="C67" s="28">
        <f t="shared" si="9"/>
        <v>0.1414576239110841</v>
      </c>
    </row>
    <row r="68" spans="1:3" x14ac:dyDescent="0.3">
      <c r="A68" s="27">
        <v>67</v>
      </c>
      <c r="B68" s="39">
        <f>SARIMA!B81-SARIMA!C81</f>
        <v>0.2327137818169831</v>
      </c>
      <c r="C68" s="28">
        <f t="shared" si="9"/>
        <v>0.22617485979110488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ACF_PACF</vt:lpstr>
      <vt:lpstr>SARIMA</vt:lpstr>
      <vt:lpstr>RESID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branko</dc:creator>
  <cp:lastModifiedBy>branko</cp:lastModifiedBy>
  <dcterms:created xsi:type="dcterms:W3CDTF">2017-01-27T13:23:41Z</dcterms:created>
  <dcterms:modified xsi:type="dcterms:W3CDTF">2017-02-02T14:49:03Z</dcterms:modified>
</cp:coreProperties>
</file>